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2.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3.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16.xml" ContentType="application/vnd.openxmlformats-officedocument.drawing+xml"/>
  <Override PartName="/xl/comments12.xml" ContentType="application/vnd.openxmlformats-officedocument.spreadsheetml.comments+xml"/>
  <Override PartName="/xl/threadedComments/threadedComment5.xml" ContentType="application/vnd.ms-excel.threadedcomments+xml"/>
  <Override PartName="/xl/drawings/drawing17.xml" ContentType="application/vnd.openxmlformats-officedocument.drawing+xml"/>
  <Override PartName="/xl/comments13.xml" ContentType="application/vnd.openxmlformats-officedocument.spreadsheetml.comments+xml"/>
  <Override PartName="/xl/threadedComments/threadedComment6.xml" ContentType="application/vnd.ms-excel.threadedcomments+xml"/>
  <Override PartName="/xl/drawings/drawing18.xml" ContentType="application/vnd.openxmlformats-officedocument.drawing+xml"/>
  <Override PartName="/xl/comments14.xml" ContentType="application/vnd.openxmlformats-officedocument.spreadsheetml.comments+xml"/>
  <Override PartName="/xl/threadedComments/threadedComment7.xml" ContentType="application/vnd.ms-excel.threadedcomments+xml"/>
  <Override PartName="/xl/drawings/drawing19.xml" ContentType="application/vnd.openxmlformats-officedocument.drawing+xml"/>
  <Override PartName="/xl/comments15.xml" ContentType="application/vnd.openxmlformats-officedocument.spreadsheetml.comments+xml"/>
  <Override PartName="/xl/threadedComments/threadedComment8.xml" ContentType="application/vnd.ms-excel.threadedcomments+xml"/>
  <Override PartName="/xl/drawings/drawing20.xml" ContentType="application/vnd.openxmlformats-officedocument.drawing+xml"/>
  <Override PartName="/xl/comments16.xml" ContentType="application/vnd.openxmlformats-officedocument.spreadsheetml.comments+xml"/>
  <Override PartName="/xl/threadedComments/threadedComment9.xml" ContentType="application/vnd.ms-excel.threadedcomments+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admin\Dropbox\WPIA Shared Folders\4.  Sponsors\Sponsor content for website\"/>
    </mc:Choice>
  </mc:AlternateContent>
  <xr:revisionPtr revIDLastSave="0" documentId="8_{6EAF0F82-53E7-4EB3-9E20-5F1E6C7D8799}" xr6:coauthVersionLast="46" xr6:coauthVersionMax="46" xr10:uidLastSave="{00000000-0000-0000-0000-000000000000}"/>
  <bookViews>
    <workbookView xWindow="-108" yWindow="-108" windowWidth="23256" windowHeight="12576" tabRatio="941" activeTab="3" xr2:uid="{00000000-000D-0000-FFFF-FFFF00000000}"/>
  </bookViews>
  <sheets>
    <sheet name="Data to enter" sheetId="3" r:id="rId1"/>
    <sheet name="Property value graph" sheetId="2" r:id="rId2"/>
    <sheet name="Summary" sheetId="6" r:id="rId3"/>
    <sheet name="p1 one year" sheetId="1" r:id="rId4"/>
    <sheet name="p2 one year" sheetId="16" r:id="rId5"/>
    <sheet name="p3 one year" sheetId="18" r:id="rId6"/>
    <sheet name="p4 one year repeat p2" sheetId="20" r:id="rId7"/>
    <sheet name="p5a one year" sheetId="22" r:id="rId8"/>
    <sheet name="p5b one year" sheetId="24" r:id="rId9"/>
    <sheet name="p5c one year" sheetId="25" r:id="rId10"/>
    <sheet name="p1 10 year" sheetId="5" r:id="rId11"/>
    <sheet name="no interest p1 10 year" sheetId="28" r:id="rId12"/>
    <sheet name="p2 10 year" sheetId="17" r:id="rId13"/>
    <sheet name="no interest p2 10 year" sheetId="29" r:id="rId14"/>
    <sheet name="p3 10 year" sheetId="19" r:id="rId15"/>
    <sheet name="p4 10 year" sheetId="21" r:id="rId16"/>
    <sheet name="p5a 10 year" sheetId="23" r:id="rId17"/>
    <sheet name="p5b 10 year" sheetId="26" r:id="rId18"/>
    <sheet name="p5c 10 year" sheetId="27" r:id="rId19"/>
    <sheet name="Sheet1" sheetId="4" r:id="rId20"/>
  </sheets>
  <definedNames>
    <definedName name="_xlnm.Print_Area" localSheetId="11">'no interest p1 10 year'!$A$1:$Q$73</definedName>
    <definedName name="_xlnm.Print_Area" localSheetId="13">'no interest p2 10 year'!$A$1:$Q$73</definedName>
    <definedName name="_xlnm.Print_Area" localSheetId="10">'p1 10 year'!$A$1:$Q$71</definedName>
    <definedName name="_xlnm.Print_Area" localSheetId="3">'p1 one year'!$A$1:$J$61</definedName>
    <definedName name="_xlnm.Print_Area" localSheetId="12">'p2 10 year'!$A$1:$Q$71</definedName>
    <definedName name="_xlnm.Print_Area" localSheetId="4">'p2 one year'!$A$1:$J$61</definedName>
    <definedName name="_xlnm.Print_Area" localSheetId="14">'p3 10 year'!$A$1:$Q$71</definedName>
    <definedName name="_xlnm.Print_Area" localSheetId="5">'p3 one year'!$A$1:$J$61</definedName>
    <definedName name="_xlnm.Print_Area" localSheetId="15">'p4 10 year'!$A$1:$Q$71</definedName>
    <definedName name="_xlnm.Print_Area" localSheetId="6">'p4 one year repeat p2'!$A$1:$J$61</definedName>
    <definedName name="_xlnm.Print_Area" localSheetId="16">'p5a 10 year'!$A$1:$Q$71</definedName>
    <definedName name="_xlnm.Print_Area" localSheetId="7">'p5a one year'!$A$1:$J$61</definedName>
    <definedName name="_xlnm.Print_Area" localSheetId="17">'p5b 10 year'!$A$1:$Q$71</definedName>
    <definedName name="_xlnm.Print_Area" localSheetId="8">'p5b one year'!$A$1:$J$62</definedName>
    <definedName name="_xlnm.Print_Area" localSheetId="18">'p5c 10 year'!$A$1:$Q$71</definedName>
    <definedName name="_xlnm.Print_Area" localSheetId="9">'p5c one year'!$A$1:$J$62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6" l="1"/>
  <c r="E20" i="6"/>
  <c r="E18" i="6"/>
  <c r="E16" i="6"/>
  <c r="E15" i="6"/>
  <c r="E13" i="6"/>
  <c r="E11" i="6"/>
  <c r="C22" i="6"/>
  <c r="C20" i="6"/>
  <c r="C18" i="6"/>
  <c r="C16" i="6"/>
  <c r="C15" i="6"/>
  <c r="C13" i="6"/>
  <c r="C11" i="6"/>
  <c r="H42" i="29"/>
  <c r="I42" i="29"/>
  <c r="J42" i="29"/>
  <c r="K42" i="29"/>
  <c r="L42" i="29"/>
  <c r="M42" i="29"/>
  <c r="N42" i="29"/>
  <c r="O42" i="29"/>
  <c r="P42" i="29"/>
  <c r="G42" i="29"/>
  <c r="P36" i="29"/>
  <c r="O36" i="29"/>
  <c r="N36" i="29"/>
  <c r="M36" i="29"/>
  <c r="L36" i="29"/>
  <c r="K36" i="29"/>
  <c r="J36" i="29"/>
  <c r="I36" i="29"/>
  <c r="H36" i="29"/>
  <c r="G46" i="29"/>
  <c r="E46" i="29"/>
  <c r="G45" i="29"/>
  <c r="E45" i="29"/>
  <c r="G39" i="29"/>
  <c r="H39" i="29" s="1"/>
  <c r="I39" i="29" s="1"/>
  <c r="J39" i="29" s="1"/>
  <c r="K39" i="29" s="1"/>
  <c r="L39" i="29" s="1"/>
  <c r="M39" i="29" s="1"/>
  <c r="N39" i="29" s="1"/>
  <c r="O39" i="29" s="1"/>
  <c r="P39" i="29" s="1"/>
  <c r="G30" i="29"/>
  <c r="H30" i="29" s="1"/>
  <c r="I30" i="29" s="1"/>
  <c r="J30" i="29" s="1"/>
  <c r="K30" i="29" s="1"/>
  <c r="L30" i="29" s="1"/>
  <c r="M30" i="29" s="1"/>
  <c r="N30" i="29" s="1"/>
  <c r="O30" i="29" s="1"/>
  <c r="P30" i="29" s="1"/>
  <c r="G29" i="29"/>
  <c r="H29" i="29" s="1"/>
  <c r="I29" i="29" s="1"/>
  <c r="J29" i="29" s="1"/>
  <c r="K29" i="29" s="1"/>
  <c r="L29" i="29" s="1"/>
  <c r="M29" i="29" s="1"/>
  <c r="N29" i="29" s="1"/>
  <c r="O29" i="29" s="1"/>
  <c r="P29" i="29" s="1"/>
  <c r="G28" i="29"/>
  <c r="H28" i="29" s="1"/>
  <c r="I28" i="29" s="1"/>
  <c r="J28" i="29" s="1"/>
  <c r="K28" i="29" s="1"/>
  <c r="L28" i="29" s="1"/>
  <c r="M28" i="29" s="1"/>
  <c r="N28" i="29" s="1"/>
  <c r="O28" i="29" s="1"/>
  <c r="P28" i="29" s="1"/>
  <c r="G27" i="29"/>
  <c r="H27" i="29" s="1"/>
  <c r="I27" i="29" s="1"/>
  <c r="J27" i="29" s="1"/>
  <c r="K27" i="29" s="1"/>
  <c r="L27" i="29" s="1"/>
  <c r="M27" i="29" s="1"/>
  <c r="N27" i="29" s="1"/>
  <c r="O27" i="29" s="1"/>
  <c r="P27" i="29" s="1"/>
  <c r="G26" i="29"/>
  <c r="H26" i="29" s="1"/>
  <c r="I26" i="29" s="1"/>
  <c r="J26" i="29" s="1"/>
  <c r="K26" i="29" s="1"/>
  <c r="L26" i="29" s="1"/>
  <c r="M26" i="29" s="1"/>
  <c r="N26" i="29" s="1"/>
  <c r="O26" i="29" s="1"/>
  <c r="P26" i="29" s="1"/>
  <c r="G25" i="29"/>
  <c r="H25" i="29" s="1"/>
  <c r="I25" i="29" s="1"/>
  <c r="J25" i="29" s="1"/>
  <c r="K25" i="29" s="1"/>
  <c r="L25" i="29" s="1"/>
  <c r="M25" i="29" s="1"/>
  <c r="N25" i="29" s="1"/>
  <c r="O25" i="29" s="1"/>
  <c r="P25" i="29" s="1"/>
  <c r="G23" i="29"/>
  <c r="H23" i="29" s="1"/>
  <c r="I23" i="29" s="1"/>
  <c r="J23" i="29" s="1"/>
  <c r="K23" i="29" s="1"/>
  <c r="L23" i="29" s="1"/>
  <c r="M23" i="29" s="1"/>
  <c r="N23" i="29" s="1"/>
  <c r="O23" i="29" s="1"/>
  <c r="P23" i="29" s="1"/>
  <c r="G22" i="29"/>
  <c r="H22" i="29" s="1"/>
  <c r="I22" i="29" s="1"/>
  <c r="J22" i="29" s="1"/>
  <c r="K22" i="29" s="1"/>
  <c r="L22" i="29" s="1"/>
  <c r="M22" i="29" s="1"/>
  <c r="N22" i="29" s="1"/>
  <c r="O22" i="29" s="1"/>
  <c r="P22" i="29" s="1"/>
  <c r="G21" i="29"/>
  <c r="H21" i="29" s="1"/>
  <c r="I21" i="29" s="1"/>
  <c r="J21" i="29" s="1"/>
  <c r="K21" i="29" s="1"/>
  <c r="L21" i="29" s="1"/>
  <c r="M21" i="29" s="1"/>
  <c r="N21" i="29" s="1"/>
  <c r="O21" i="29" s="1"/>
  <c r="P21" i="29" s="1"/>
  <c r="G20" i="29"/>
  <c r="H20" i="29" s="1"/>
  <c r="D15" i="29"/>
  <c r="D14" i="29"/>
  <c r="G10" i="29"/>
  <c r="G53" i="29" s="1"/>
  <c r="G8" i="29"/>
  <c r="R8" i="29" s="1"/>
  <c r="G6" i="29"/>
  <c r="H6" i="29" s="1"/>
  <c r="P3" i="29"/>
  <c r="O3" i="29"/>
  <c r="N3" i="29"/>
  <c r="M3" i="29"/>
  <c r="L3" i="29"/>
  <c r="K3" i="29"/>
  <c r="J3" i="29"/>
  <c r="I3" i="29"/>
  <c r="H3" i="29"/>
  <c r="G3" i="29"/>
  <c r="H42" i="28"/>
  <c r="I42" i="28"/>
  <c r="J42" i="28"/>
  <c r="K42" i="28"/>
  <c r="L42" i="28"/>
  <c r="M42" i="28"/>
  <c r="N42" i="28"/>
  <c r="O42" i="28"/>
  <c r="P42" i="28"/>
  <c r="G42" i="28"/>
  <c r="G46" i="28"/>
  <c r="E46" i="28"/>
  <c r="G45" i="28"/>
  <c r="E45" i="28"/>
  <c r="G39" i="28"/>
  <c r="H39" i="28" s="1"/>
  <c r="I39" i="28" s="1"/>
  <c r="J39" i="28" s="1"/>
  <c r="K39" i="28" s="1"/>
  <c r="L39" i="28" s="1"/>
  <c r="M39" i="28" s="1"/>
  <c r="N39" i="28" s="1"/>
  <c r="O39" i="28" s="1"/>
  <c r="P39" i="28" s="1"/>
  <c r="G30" i="28"/>
  <c r="H30" i="28" s="1"/>
  <c r="I30" i="28" s="1"/>
  <c r="J30" i="28" s="1"/>
  <c r="K30" i="28" s="1"/>
  <c r="L30" i="28" s="1"/>
  <c r="M30" i="28" s="1"/>
  <c r="N30" i="28" s="1"/>
  <c r="O30" i="28" s="1"/>
  <c r="P30" i="28" s="1"/>
  <c r="G29" i="28"/>
  <c r="H29" i="28" s="1"/>
  <c r="I29" i="28" s="1"/>
  <c r="J29" i="28" s="1"/>
  <c r="K29" i="28" s="1"/>
  <c r="L29" i="28" s="1"/>
  <c r="M29" i="28" s="1"/>
  <c r="N29" i="28" s="1"/>
  <c r="O29" i="28" s="1"/>
  <c r="P29" i="28" s="1"/>
  <c r="G28" i="28"/>
  <c r="H28" i="28" s="1"/>
  <c r="I28" i="28" s="1"/>
  <c r="J28" i="28" s="1"/>
  <c r="K28" i="28" s="1"/>
  <c r="L28" i="28" s="1"/>
  <c r="M28" i="28" s="1"/>
  <c r="N28" i="28" s="1"/>
  <c r="O28" i="28" s="1"/>
  <c r="P28" i="28" s="1"/>
  <c r="G27" i="28"/>
  <c r="H27" i="28" s="1"/>
  <c r="I27" i="28" s="1"/>
  <c r="J27" i="28" s="1"/>
  <c r="K27" i="28" s="1"/>
  <c r="L27" i="28" s="1"/>
  <c r="M27" i="28" s="1"/>
  <c r="N27" i="28" s="1"/>
  <c r="O27" i="28" s="1"/>
  <c r="P27" i="28" s="1"/>
  <c r="G26" i="28"/>
  <c r="H26" i="28" s="1"/>
  <c r="I26" i="28" s="1"/>
  <c r="J26" i="28" s="1"/>
  <c r="K26" i="28" s="1"/>
  <c r="L26" i="28" s="1"/>
  <c r="M26" i="28" s="1"/>
  <c r="N26" i="28" s="1"/>
  <c r="O26" i="28" s="1"/>
  <c r="P26" i="28" s="1"/>
  <c r="G25" i="28"/>
  <c r="H25" i="28" s="1"/>
  <c r="I25" i="28" s="1"/>
  <c r="J25" i="28" s="1"/>
  <c r="K25" i="28" s="1"/>
  <c r="L25" i="28" s="1"/>
  <c r="M25" i="28" s="1"/>
  <c r="N25" i="28" s="1"/>
  <c r="O25" i="28" s="1"/>
  <c r="P25" i="28" s="1"/>
  <c r="G23" i="28"/>
  <c r="H23" i="28" s="1"/>
  <c r="I23" i="28" s="1"/>
  <c r="J23" i="28" s="1"/>
  <c r="K23" i="28" s="1"/>
  <c r="L23" i="28" s="1"/>
  <c r="M23" i="28" s="1"/>
  <c r="N23" i="28" s="1"/>
  <c r="O23" i="28" s="1"/>
  <c r="P23" i="28" s="1"/>
  <c r="G22" i="28"/>
  <c r="H22" i="28" s="1"/>
  <c r="I22" i="28" s="1"/>
  <c r="J22" i="28" s="1"/>
  <c r="K22" i="28" s="1"/>
  <c r="L22" i="28" s="1"/>
  <c r="M22" i="28" s="1"/>
  <c r="N22" i="28" s="1"/>
  <c r="O22" i="28" s="1"/>
  <c r="P22" i="28" s="1"/>
  <c r="G21" i="28"/>
  <c r="H21" i="28" s="1"/>
  <c r="I21" i="28" s="1"/>
  <c r="J21" i="28" s="1"/>
  <c r="K21" i="28" s="1"/>
  <c r="L21" i="28" s="1"/>
  <c r="M21" i="28" s="1"/>
  <c r="N21" i="28" s="1"/>
  <c r="O21" i="28" s="1"/>
  <c r="P21" i="28" s="1"/>
  <c r="G20" i="28"/>
  <c r="H20" i="28" s="1"/>
  <c r="D15" i="28"/>
  <c r="D14" i="28"/>
  <c r="G10" i="28"/>
  <c r="H10" i="28" s="1"/>
  <c r="R8" i="28"/>
  <c r="G8" i="28"/>
  <c r="G6" i="28"/>
  <c r="P3" i="28"/>
  <c r="O3" i="28"/>
  <c r="N3" i="28"/>
  <c r="M3" i="28"/>
  <c r="L3" i="28"/>
  <c r="K3" i="28"/>
  <c r="J3" i="28"/>
  <c r="I3" i="28"/>
  <c r="H3" i="28"/>
  <c r="G3" i="28"/>
  <c r="O48" i="16"/>
  <c r="O39" i="16"/>
  <c r="N23" i="16"/>
  <c r="O34" i="16" s="1"/>
  <c r="N24" i="16"/>
  <c r="N25" i="16"/>
  <c r="N27" i="16"/>
  <c r="N28" i="16"/>
  <c r="N29" i="16"/>
  <c r="N30" i="16"/>
  <c r="N31" i="16"/>
  <c r="N32" i="16"/>
  <c r="N22" i="16"/>
  <c r="O16" i="16"/>
  <c r="E84" i="1"/>
  <c r="E86" i="1"/>
  <c r="E85" i="1"/>
  <c r="N50" i="1"/>
  <c r="N48" i="1"/>
  <c r="N44" i="1"/>
  <c r="N42" i="1"/>
  <c r="N39" i="1"/>
  <c r="N36" i="1"/>
  <c r="N34" i="1"/>
  <c r="M23" i="1"/>
  <c r="M24" i="1"/>
  <c r="M25" i="1"/>
  <c r="M27" i="1"/>
  <c r="M28" i="1"/>
  <c r="M29" i="1"/>
  <c r="M30" i="1"/>
  <c r="M31" i="1"/>
  <c r="M32" i="1"/>
  <c r="M22" i="1"/>
  <c r="N16" i="1"/>
  <c r="G3" i="27"/>
  <c r="G3" i="26"/>
  <c r="G3" i="23"/>
  <c r="G3" i="21"/>
  <c r="G3" i="19"/>
  <c r="G3" i="5"/>
  <c r="G3" i="17"/>
  <c r="G27" i="18"/>
  <c r="E27" i="25"/>
  <c r="G14" i="29" l="1"/>
  <c r="G24" i="29"/>
  <c r="G32" i="29" s="1"/>
  <c r="G34" i="29" s="1"/>
  <c r="I20" i="29"/>
  <c r="H14" i="29"/>
  <c r="G16" i="29"/>
  <c r="I6" i="29"/>
  <c r="H10" i="29"/>
  <c r="H53" i="29" s="1"/>
  <c r="G53" i="28"/>
  <c r="G14" i="28"/>
  <c r="H14" i="28" s="1"/>
  <c r="G24" i="28"/>
  <c r="G32" i="28" s="1"/>
  <c r="G34" i="28" s="1"/>
  <c r="I10" i="28"/>
  <c r="H24" i="28"/>
  <c r="H36" i="28" s="1"/>
  <c r="I20" i="28"/>
  <c r="H6" i="28"/>
  <c r="O36" i="16"/>
  <c r="O42" i="16" s="1"/>
  <c r="O44" i="16" s="1"/>
  <c r="O50" i="16" s="1"/>
  <c r="J73" i="25"/>
  <c r="J72" i="25"/>
  <c r="J71" i="25"/>
  <c r="J73" i="24"/>
  <c r="J72" i="24"/>
  <c r="J71" i="24"/>
  <c r="G44" i="29" l="1"/>
  <c r="G48" i="29" s="1"/>
  <c r="J6" i="29"/>
  <c r="I14" i="29"/>
  <c r="H24" i="29"/>
  <c r="H32" i="29" s="1"/>
  <c r="H34" i="29" s="1"/>
  <c r="I10" i="29"/>
  <c r="I53" i="29" s="1"/>
  <c r="J20" i="29"/>
  <c r="H32" i="28"/>
  <c r="H34" i="28" s="1"/>
  <c r="G16" i="28"/>
  <c r="G44" i="28"/>
  <c r="G48" i="28" s="1"/>
  <c r="J10" i="28"/>
  <c r="I24" i="28"/>
  <c r="I36" i="28" s="1"/>
  <c r="H53" i="28"/>
  <c r="I6" i="28"/>
  <c r="J20" i="28"/>
  <c r="I14" i="28"/>
  <c r="D6" i="18"/>
  <c r="H44" i="29" l="1"/>
  <c r="H48" i="29" s="1"/>
  <c r="H50" i="29" s="1"/>
  <c r="G54" i="29"/>
  <c r="G50" i="29"/>
  <c r="K6" i="29"/>
  <c r="J14" i="29"/>
  <c r="K20" i="29"/>
  <c r="J10" i="29"/>
  <c r="I24" i="29"/>
  <c r="I32" i="29" s="1"/>
  <c r="I34" i="29" s="1"/>
  <c r="I32" i="28"/>
  <c r="G54" i="28"/>
  <c r="G50" i="28"/>
  <c r="J24" i="28"/>
  <c r="J36" i="28" s="1"/>
  <c r="K10" i="28"/>
  <c r="K20" i="28"/>
  <c r="J32" i="28"/>
  <c r="I53" i="28"/>
  <c r="J6" i="28"/>
  <c r="I34" i="28"/>
  <c r="J14" i="28"/>
  <c r="H44" i="28"/>
  <c r="H48" i="28" s="1"/>
  <c r="H50" i="28" s="1"/>
  <c r="D7" i="1"/>
  <c r="H54" i="29" l="1"/>
  <c r="L20" i="29"/>
  <c r="L6" i="29"/>
  <c r="K10" i="29"/>
  <c r="K53" i="29" s="1"/>
  <c r="J24" i="29"/>
  <c r="J32" i="29" s="1"/>
  <c r="J34" i="29" s="1"/>
  <c r="K14" i="29"/>
  <c r="I44" i="29"/>
  <c r="I48" i="29" s="1"/>
  <c r="I50" i="29" s="1"/>
  <c r="J53" i="29"/>
  <c r="J53" i="28"/>
  <c r="K6" i="28"/>
  <c r="K24" i="28"/>
  <c r="L10" i="28"/>
  <c r="L20" i="28"/>
  <c r="J34" i="28"/>
  <c r="K14" i="28"/>
  <c r="I44" i="28"/>
  <c r="I48" i="28" s="1"/>
  <c r="I50" i="28" s="1"/>
  <c r="H54" i="28"/>
  <c r="G44" i="27"/>
  <c r="G43" i="27"/>
  <c r="E44" i="27"/>
  <c r="E43" i="27"/>
  <c r="G29" i="27"/>
  <c r="H29" i="27" s="1"/>
  <c r="I29" i="27" s="1"/>
  <c r="J29" i="27" s="1"/>
  <c r="K29" i="27" s="1"/>
  <c r="L29" i="27" s="1"/>
  <c r="M29" i="27" s="1"/>
  <c r="N29" i="27" s="1"/>
  <c r="O29" i="27" s="1"/>
  <c r="P29" i="27" s="1"/>
  <c r="P3" i="27"/>
  <c r="O3" i="27"/>
  <c r="N3" i="27"/>
  <c r="M3" i="27"/>
  <c r="L3" i="27"/>
  <c r="K3" i="27"/>
  <c r="J3" i="27"/>
  <c r="I3" i="27"/>
  <c r="H3" i="27"/>
  <c r="G44" i="26"/>
  <c r="G43" i="26"/>
  <c r="E44" i="26"/>
  <c r="E43" i="26"/>
  <c r="G37" i="26"/>
  <c r="H37" i="26" s="1"/>
  <c r="I37" i="26" s="1"/>
  <c r="J37" i="26" s="1"/>
  <c r="K37" i="26" s="1"/>
  <c r="L37" i="26" s="1"/>
  <c r="M37" i="26" s="1"/>
  <c r="N37" i="26" s="1"/>
  <c r="O37" i="26" s="1"/>
  <c r="P37" i="26" s="1"/>
  <c r="J40" i="24" s="1"/>
  <c r="G26" i="26"/>
  <c r="H26" i="26" s="1"/>
  <c r="I26" i="26" s="1"/>
  <c r="J26" i="26" s="1"/>
  <c r="K26" i="26" s="1"/>
  <c r="L26" i="26" s="1"/>
  <c r="M26" i="26" s="1"/>
  <c r="N26" i="26" s="1"/>
  <c r="O26" i="26" s="1"/>
  <c r="P26" i="26" s="1"/>
  <c r="G27" i="26"/>
  <c r="H27" i="26" s="1"/>
  <c r="I27" i="26" s="1"/>
  <c r="J27" i="26" s="1"/>
  <c r="K27" i="26" s="1"/>
  <c r="L27" i="26" s="1"/>
  <c r="M27" i="26" s="1"/>
  <c r="N27" i="26" s="1"/>
  <c r="O27" i="26" s="1"/>
  <c r="P27" i="26" s="1"/>
  <c r="G28" i="26"/>
  <c r="H28" i="26" s="1"/>
  <c r="I28" i="26" s="1"/>
  <c r="J28" i="26" s="1"/>
  <c r="K28" i="26" s="1"/>
  <c r="L28" i="26" s="1"/>
  <c r="M28" i="26" s="1"/>
  <c r="N28" i="26" s="1"/>
  <c r="O28" i="26" s="1"/>
  <c r="P28" i="26" s="1"/>
  <c r="G29" i="26"/>
  <c r="G30" i="26"/>
  <c r="H30" i="26" s="1"/>
  <c r="I30" i="26" s="1"/>
  <c r="J30" i="26" s="1"/>
  <c r="K30" i="26" s="1"/>
  <c r="L30" i="26" s="1"/>
  <c r="M30" i="26" s="1"/>
  <c r="N30" i="26" s="1"/>
  <c r="O30" i="26" s="1"/>
  <c r="P30" i="26" s="1"/>
  <c r="G21" i="26"/>
  <c r="H21" i="26" s="1"/>
  <c r="I21" i="26" s="1"/>
  <c r="J21" i="26" s="1"/>
  <c r="K21" i="26" s="1"/>
  <c r="L21" i="26" s="1"/>
  <c r="M21" i="26" s="1"/>
  <c r="N21" i="26" s="1"/>
  <c r="O21" i="26" s="1"/>
  <c r="P21" i="26" s="1"/>
  <c r="G22" i="26"/>
  <c r="H22" i="26" s="1"/>
  <c r="I22" i="26" s="1"/>
  <c r="J22" i="26" s="1"/>
  <c r="K22" i="26" s="1"/>
  <c r="L22" i="26" s="1"/>
  <c r="M22" i="26" s="1"/>
  <c r="N22" i="26" s="1"/>
  <c r="O22" i="26" s="1"/>
  <c r="P22" i="26" s="1"/>
  <c r="G23" i="26"/>
  <c r="H23" i="26" s="1"/>
  <c r="I23" i="26" s="1"/>
  <c r="J23" i="26" s="1"/>
  <c r="K23" i="26" s="1"/>
  <c r="L23" i="26" s="1"/>
  <c r="M23" i="26" s="1"/>
  <c r="N23" i="26" s="1"/>
  <c r="O23" i="26" s="1"/>
  <c r="P23" i="26" s="1"/>
  <c r="G20" i="26"/>
  <c r="H20" i="26" s="1"/>
  <c r="D15" i="26"/>
  <c r="D14" i="26"/>
  <c r="G8" i="26"/>
  <c r="R8" i="26" s="1"/>
  <c r="G6" i="26"/>
  <c r="H29" i="26"/>
  <c r="I29" i="26" s="1"/>
  <c r="J29" i="26" s="1"/>
  <c r="K29" i="26" s="1"/>
  <c r="L29" i="26" s="1"/>
  <c r="M29" i="26" s="1"/>
  <c r="N29" i="26" s="1"/>
  <c r="O29" i="26" s="1"/>
  <c r="P29" i="26" s="1"/>
  <c r="H6" i="26"/>
  <c r="P3" i="26"/>
  <c r="O3" i="26"/>
  <c r="N3" i="26"/>
  <c r="M3" i="26"/>
  <c r="L3" i="26"/>
  <c r="K3" i="26"/>
  <c r="J3" i="26"/>
  <c r="I3" i="26"/>
  <c r="H3" i="26"/>
  <c r="H40" i="25"/>
  <c r="G37" i="27" s="1"/>
  <c r="H37" i="27" s="1"/>
  <c r="I37" i="27" s="1"/>
  <c r="J37" i="27" s="1"/>
  <c r="K37" i="27" s="1"/>
  <c r="L37" i="27" s="1"/>
  <c r="M37" i="27" s="1"/>
  <c r="N37" i="27" s="1"/>
  <c r="O37" i="27" s="1"/>
  <c r="P37" i="27" s="1"/>
  <c r="J40" i="25" s="1"/>
  <c r="G29" i="25"/>
  <c r="G26" i="27" s="1"/>
  <c r="H26" i="27" s="1"/>
  <c r="I26" i="27" s="1"/>
  <c r="J26" i="27" s="1"/>
  <c r="K26" i="27" s="1"/>
  <c r="L26" i="27" s="1"/>
  <c r="M26" i="27" s="1"/>
  <c r="N26" i="27" s="1"/>
  <c r="O26" i="27" s="1"/>
  <c r="P26" i="27" s="1"/>
  <c r="G30" i="25"/>
  <c r="G27" i="27" s="1"/>
  <c r="H27" i="27" s="1"/>
  <c r="I27" i="27" s="1"/>
  <c r="J27" i="27" s="1"/>
  <c r="K27" i="27" s="1"/>
  <c r="L27" i="27" s="1"/>
  <c r="M27" i="27" s="1"/>
  <c r="N27" i="27" s="1"/>
  <c r="O27" i="27" s="1"/>
  <c r="P27" i="27" s="1"/>
  <c r="G31" i="25"/>
  <c r="G28" i="27" s="1"/>
  <c r="H28" i="27" s="1"/>
  <c r="I28" i="27" s="1"/>
  <c r="J28" i="27" s="1"/>
  <c r="K28" i="27" s="1"/>
  <c r="L28" i="27" s="1"/>
  <c r="M28" i="27" s="1"/>
  <c r="N28" i="27" s="1"/>
  <c r="O28" i="27" s="1"/>
  <c r="P28" i="27" s="1"/>
  <c r="G32" i="25"/>
  <c r="G33" i="25"/>
  <c r="G30" i="27" s="1"/>
  <c r="H30" i="27" s="1"/>
  <c r="I30" i="27" s="1"/>
  <c r="J30" i="27" s="1"/>
  <c r="K30" i="27" s="1"/>
  <c r="L30" i="27" s="1"/>
  <c r="M30" i="27" s="1"/>
  <c r="N30" i="27" s="1"/>
  <c r="O30" i="27" s="1"/>
  <c r="P30" i="27" s="1"/>
  <c r="G24" i="25"/>
  <c r="G21" i="27" s="1"/>
  <c r="H21" i="27" s="1"/>
  <c r="I21" i="27" s="1"/>
  <c r="J21" i="27" s="1"/>
  <c r="K21" i="27" s="1"/>
  <c r="L21" i="27" s="1"/>
  <c r="M21" i="27" s="1"/>
  <c r="N21" i="27" s="1"/>
  <c r="O21" i="27" s="1"/>
  <c r="P21" i="27" s="1"/>
  <c r="G25" i="25"/>
  <c r="G22" i="27" s="1"/>
  <c r="H22" i="27" s="1"/>
  <c r="I22" i="27" s="1"/>
  <c r="J22" i="27" s="1"/>
  <c r="K22" i="27" s="1"/>
  <c r="L22" i="27" s="1"/>
  <c r="M22" i="27" s="1"/>
  <c r="N22" i="27" s="1"/>
  <c r="O22" i="27" s="1"/>
  <c r="P22" i="27" s="1"/>
  <c r="G26" i="25"/>
  <c r="G23" i="27" s="1"/>
  <c r="H23" i="27" s="1"/>
  <c r="I23" i="27" s="1"/>
  <c r="J23" i="27" s="1"/>
  <c r="K23" i="27" s="1"/>
  <c r="L23" i="27" s="1"/>
  <c r="M23" i="27" s="1"/>
  <c r="N23" i="27" s="1"/>
  <c r="O23" i="27" s="1"/>
  <c r="P23" i="27" s="1"/>
  <c r="G23" i="25"/>
  <c r="G20" i="27" s="1"/>
  <c r="H20" i="27" s="1"/>
  <c r="D9" i="25"/>
  <c r="T6" i="25"/>
  <c r="R6" i="25"/>
  <c r="T10" i="25"/>
  <c r="D6" i="25" s="1"/>
  <c r="P6" i="25"/>
  <c r="O7" i="6"/>
  <c r="O5" i="6"/>
  <c r="E10" i="24"/>
  <c r="H55" i="24" s="1"/>
  <c r="H17" i="24"/>
  <c r="G28" i="24" s="1"/>
  <c r="G44" i="23"/>
  <c r="G43" i="23"/>
  <c r="E44" i="23"/>
  <c r="E43" i="23"/>
  <c r="G37" i="23"/>
  <c r="H37" i="23" s="1"/>
  <c r="I37" i="23" s="1"/>
  <c r="J37" i="23" s="1"/>
  <c r="K37" i="23" s="1"/>
  <c r="L37" i="23" s="1"/>
  <c r="M37" i="23" s="1"/>
  <c r="N37" i="23" s="1"/>
  <c r="O37" i="23" s="1"/>
  <c r="P37" i="23" s="1"/>
  <c r="J39" i="22" s="1"/>
  <c r="G26" i="23"/>
  <c r="H26" i="23" s="1"/>
  <c r="I26" i="23" s="1"/>
  <c r="J26" i="23" s="1"/>
  <c r="K26" i="23" s="1"/>
  <c r="L26" i="23" s="1"/>
  <c r="M26" i="23" s="1"/>
  <c r="N26" i="23" s="1"/>
  <c r="O26" i="23" s="1"/>
  <c r="P26" i="23" s="1"/>
  <c r="G27" i="23"/>
  <c r="H27" i="23" s="1"/>
  <c r="I27" i="23" s="1"/>
  <c r="J27" i="23" s="1"/>
  <c r="K27" i="23" s="1"/>
  <c r="L27" i="23" s="1"/>
  <c r="M27" i="23" s="1"/>
  <c r="N27" i="23" s="1"/>
  <c r="O27" i="23" s="1"/>
  <c r="P27" i="23" s="1"/>
  <c r="G28" i="23"/>
  <c r="H28" i="23" s="1"/>
  <c r="I28" i="23" s="1"/>
  <c r="J28" i="23" s="1"/>
  <c r="K28" i="23" s="1"/>
  <c r="L28" i="23" s="1"/>
  <c r="M28" i="23" s="1"/>
  <c r="N28" i="23" s="1"/>
  <c r="O28" i="23" s="1"/>
  <c r="P28" i="23" s="1"/>
  <c r="G29" i="23"/>
  <c r="H29" i="23" s="1"/>
  <c r="I29" i="23" s="1"/>
  <c r="J29" i="23" s="1"/>
  <c r="K29" i="23" s="1"/>
  <c r="L29" i="23" s="1"/>
  <c r="M29" i="23" s="1"/>
  <c r="N29" i="23" s="1"/>
  <c r="O29" i="23" s="1"/>
  <c r="P29" i="23" s="1"/>
  <c r="G30" i="23"/>
  <c r="H30" i="23" s="1"/>
  <c r="I30" i="23" s="1"/>
  <c r="J30" i="23" s="1"/>
  <c r="K30" i="23" s="1"/>
  <c r="L30" i="23" s="1"/>
  <c r="M30" i="23" s="1"/>
  <c r="N30" i="23" s="1"/>
  <c r="O30" i="23" s="1"/>
  <c r="P30" i="23" s="1"/>
  <c r="G21" i="23"/>
  <c r="H21" i="23" s="1"/>
  <c r="G22" i="23"/>
  <c r="H22" i="23" s="1"/>
  <c r="I22" i="23" s="1"/>
  <c r="J22" i="23" s="1"/>
  <c r="K22" i="23" s="1"/>
  <c r="L22" i="23" s="1"/>
  <c r="M22" i="23" s="1"/>
  <c r="N22" i="23" s="1"/>
  <c r="O22" i="23" s="1"/>
  <c r="P22" i="23" s="1"/>
  <c r="G23" i="23"/>
  <c r="H23" i="23" s="1"/>
  <c r="I23" i="23" s="1"/>
  <c r="J23" i="23" s="1"/>
  <c r="K23" i="23" s="1"/>
  <c r="L23" i="23" s="1"/>
  <c r="M23" i="23" s="1"/>
  <c r="N23" i="23" s="1"/>
  <c r="O23" i="23" s="1"/>
  <c r="P23" i="23" s="1"/>
  <c r="G20" i="23"/>
  <c r="H20" i="23" s="1"/>
  <c r="I20" i="23" s="1"/>
  <c r="D15" i="23"/>
  <c r="D14" i="23"/>
  <c r="G8" i="23"/>
  <c r="R8" i="23" s="1"/>
  <c r="G6" i="23"/>
  <c r="P3" i="23"/>
  <c r="O3" i="23"/>
  <c r="N3" i="23"/>
  <c r="M3" i="23"/>
  <c r="L3" i="23"/>
  <c r="K3" i="23"/>
  <c r="J3" i="23"/>
  <c r="I3" i="23"/>
  <c r="H3" i="23"/>
  <c r="N7" i="6"/>
  <c r="N5" i="6"/>
  <c r="H16" i="22"/>
  <c r="G27" i="22" s="1"/>
  <c r="D7" i="22"/>
  <c r="D8" i="25" s="1"/>
  <c r="G44" i="21"/>
  <c r="E43" i="21"/>
  <c r="G22" i="21"/>
  <c r="H22" i="21" s="1"/>
  <c r="I22" i="21" s="1"/>
  <c r="J22" i="21" s="1"/>
  <c r="K22" i="21" s="1"/>
  <c r="L22" i="21" s="1"/>
  <c r="M22" i="21" s="1"/>
  <c r="N22" i="21" s="1"/>
  <c r="O22" i="21" s="1"/>
  <c r="P22" i="21" s="1"/>
  <c r="G8" i="21"/>
  <c r="R8" i="21" s="1"/>
  <c r="P3" i="21"/>
  <c r="O3" i="21"/>
  <c r="N3" i="21"/>
  <c r="M3" i="21"/>
  <c r="L3" i="21"/>
  <c r="K3" i="21"/>
  <c r="J3" i="21"/>
  <c r="I3" i="21"/>
  <c r="H3" i="21"/>
  <c r="G7" i="6"/>
  <c r="F2" i="20"/>
  <c r="G2" i="6" s="1"/>
  <c r="E54" i="20"/>
  <c r="G46" i="20"/>
  <c r="G45" i="20"/>
  <c r="G43" i="21" s="1"/>
  <c r="E46" i="20"/>
  <c r="E44" i="21" s="1"/>
  <c r="E45" i="20"/>
  <c r="H39" i="20"/>
  <c r="G37" i="21" s="1"/>
  <c r="H37" i="21" s="1"/>
  <c r="I37" i="21" s="1"/>
  <c r="J37" i="21" s="1"/>
  <c r="K37" i="21" s="1"/>
  <c r="L37" i="21" s="1"/>
  <c r="M37" i="21" s="1"/>
  <c r="N37" i="21" s="1"/>
  <c r="O37" i="21" s="1"/>
  <c r="P37" i="21" s="1"/>
  <c r="J39" i="20" s="1"/>
  <c r="G29" i="20"/>
  <c r="G27" i="21" s="1"/>
  <c r="H27" i="21" s="1"/>
  <c r="I27" i="21" s="1"/>
  <c r="J27" i="21" s="1"/>
  <c r="K27" i="21" s="1"/>
  <c r="L27" i="21" s="1"/>
  <c r="M27" i="21" s="1"/>
  <c r="N27" i="21" s="1"/>
  <c r="O27" i="21" s="1"/>
  <c r="P27" i="21" s="1"/>
  <c r="G30" i="20"/>
  <c r="G28" i="21" s="1"/>
  <c r="H28" i="21" s="1"/>
  <c r="I28" i="21" s="1"/>
  <c r="J28" i="21" s="1"/>
  <c r="K28" i="21" s="1"/>
  <c r="L28" i="21" s="1"/>
  <c r="M28" i="21" s="1"/>
  <c r="N28" i="21" s="1"/>
  <c r="O28" i="21" s="1"/>
  <c r="P28" i="21" s="1"/>
  <c r="G31" i="20"/>
  <c r="G29" i="21" s="1"/>
  <c r="H29" i="21" s="1"/>
  <c r="I29" i="21" s="1"/>
  <c r="J29" i="21" s="1"/>
  <c r="K29" i="21" s="1"/>
  <c r="L29" i="21" s="1"/>
  <c r="M29" i="21" s="1"/>
  <c r="N29" i="21" s="1"/>
  <c r="O29" i="21" s="1"/>
  <c r="P29" i="21" s="1"/>
  <c r="G32" i="20"/>
  <c r="G30" i="21" s="1"/>
  <c r="H30" i="21" s="1"/>
  <c r="I30" i="21" s="1"/>
  <c r="J30" i="21" s="1"/>
  <c r="K30" i="21" s="1"/>
  <c r="L30" i="21" s="1"/>
  <c r="M30" i="21" s="1"/>
  <c r="N30" i="21" s="1"/>
  <c r="O30" i="21" s="1"/>
  <c r="P30" i="21" s="1"/>
  <c r="G28" i="20"/>
  <c r="G26" i="21" s="1"/>
  <c r="H26" i="21" s="1"/>
  <c r="I26" i="21" s="1"/>
  <c r="J26" i="21" s="1"/>
  <c r="K26" i="21" s="1"/>
  <c r="L26" i="21" s="1"/>
  <c r="M26" i="21" s="1"/>
  <c r="N26" i="21" s="1"/>
  <c r="O26" i="21" s="1"/>
  <c r="P26" i="21" s="1"/>
  <c r="E26" i="20"/>
  <c r="G23" i="20"/>
  <c r="G21" i="21" s="1"/>
  <c r="H21" i="21" s="1"/>
  <c r="I21" i="21" s="1"/>
  <c r="J21" i="21" s="1"/>
  <c r="K21" i="21" s="1"/>
  <c r="L21" i="21" s="1"/>
  <c r="M21" i="21" s="1"/>
  <c r="N21" i="21" s="1"/>
  <c r="O21" i="21" s="1"/>
  <c r="P21" i="21" s="1"/>
  <c r="G24" i="20"/>
  <c r="G25" i="20"/>
  <c r="G23" i="21" s="1"/>
  <c r="H23" i="21" s="1"/>
  <c r="I23" i="21" s="1"/>
  <c r="J23" i="21" s="1"/>
  <c r="K23" i="21" s="1"/>
  <c r="L23" i="21" s="1"/>
  <c r="M23" i="21" s="1"/>
  <c r="N23" i="21" s="1"/>
  <c r="O23" i="21" s="1"/>
  <c r="P23" i="21" s="1"/>
  <c r="G22" i="20"/>
  <c r="G20" i="21" s="1"/>
  <c r="H20" i="21" s="1"/>
  <c r="D17" i="20"/>
  <c r="D15" i="21" s="1"/>
  <c r="D16" i="20"/>
  <c r="D14" i="21" s="1"/>
  <c r="D8" i="20"/>
  <c r="D6" i="20"/>
  <c r="G5" i="6" s="1"/>
  <c r="G44" i="19"/>
  <c r="G43" i="19"/>
  <c r="E44" i="19"/>
  <c r="E43" i="19"/>
  <c r="G37" i="19"/>
  <c r="H37" i="19" s="1"/>
  <c r="I37" i="19" s="1"/>
  <c r="J37" i="19" s="1"/>
  <c r="K37" i="19" s="1"/>
  <c r="L37" i="19" s="1"/>
  <c r="M37" i="19" s="1"/>
  <c r="N37" i="19" s="1"/>
  <c r="O37" i="19" s="1"/>
  <c r="P37" i="19" s="1"/>
  <c r="J39" i="18" s="1"/>
  <c r="G30" i="19"/>
  <c r="G29" i="19"/>
  <c r="H29" i="19" s="1"/>
  <c r="I29" i="19" s="1"/>
  <c r="J29" i="19" s="1"/>
  <c r="K29" i="19" s="1"/>
  <c r="L29" i="19" s="1"/>
  <c r="M29" i="19" s="1"/>
  <c r="N29" i="19" s="1"/>
  <c r="O29" i="19" s="1"/>
  <c r="P29" i="19" s="1"/>
  <c r="G28" i="19"/>
  <c r="G27" i="19"/>
  <c r="H27" i="19" s="1"/>
  <c r="I27" i="19" s="1"/>
  <c r="J27" i="19" s="1"/>
  <c r="K27" i="19" s="1"/>
  <c r="L27" i="19" s="1"/>
  <c r="M27" i="19" s="1"/>
  <c r="N27" i="19" s="1"/>
  <c r="O27" i="19" s="1"/>
  <c r="P27" i="19" s="1"/>
  <c r="G26" i="19"/>
  <c r="H26" i="19" s="1"/>
  <c r="I26" i="19" s="1"/>
  <c r="J26" i="19" s="1"/>
  <c r="K26" i="19" s="1"/>
  <c r="L26" i="19" s="1"/>
  <c r="M26" i="19" s="1"/>
  <c r="N26" i="19" s="1"/>
  <c r="O26" i="19" s="1"/>
  <c r="P26" i="19" s="1"/>
  <c r="G23" i="19"/>
  <c r="H23" i="19" s="1"/>
  <c r="I23" i="19" s="1"/>
  <c r="J23" i="19" s="1"/>
  <c r="K23" i="19" s="1"/>
  <c r="L23" i="19" s="1"/>
  <c r="M23" i="19" s="1"/>
  <c r="N23" i="19" s="1"/>
  <c r="O23" i="19" s="1"/>
  <c r="P23" i="19" s="1"/>
  <c r="G22" i="19"/>
  <c r="H22" i="19" s="1"/>
  <c r="I22" i="19" s="1"/>
  <c r="J22" i="19" s="1"/>
  <c r="K22" i="19" s="1"/>
  <c r="L22" i="19" s="1"/>
  <c r="M22" i="19" s="1"/>
  <c r="N22" i="19" s="1"/>
  <c r="O22" i="19" s="1"/>
  <c r="P22" i="19" s="1"/>
  <c r="G21" i="19"/>
  <c r="H21" i="19" s="1"/>
  <c r="I21" i="19" s="1"/>
  <c r="J21" i="19" s="1"/>
  <c r="K21" i="19" s="1"/>
  <c r="L21" i="19" s="1"/>
  <c r="M21" i="19" s="1"/>
  <c r="N21" i="19" s="1"/>
  <c r="O21" i="19" s="1"/>
  <c r="P21" i="19" s="1"/>
  <c r="G20" i="19"/>
  <c r="H20" i="19" s="1"/>
  <c r="D15" i="19"/>
  <c r="D14" i="19"/>
  <c r="G8" i="19"/>
  <c r="R8" i="19" s="1"/>
  <c r="G6" i="19"/>
  <c r="H30" i="19"/>
  <c r="I30" i="19" s="1"/>
  <c r="J30" i="19" s="1"/>
  <c r="K30" i="19" s="1"/>
  <c r="L30" i="19" s="1"/>
  <c r="M30" i="19" s="1"/>
  <c r="N30" i="19" s="1"/>
  <c r="O30" i="19" s="1"/>
  <c r="P30" i="19" s="1"/>
  <c r="H28" i="19"/>
  <c r="I28" i="19" s="1"/>
  <c r="J28" i="19" s="1"/>
  <c r="K28" i="19" s="1"/>
  <c r="L28" i="19" s="1"/>
  <c r="M28" i="19" s="1"/>
  <c r="N28" i="19" s="1"/>
  <c r="O28" i="19" s="1"/>
  <c r="P28" i="19" s="1"/>
  <c r="P3" i="19"/>
  <c r="O3" i="19"/>
  <c r="N3" i="19"/>
  <c r="M3" i="19"/>
  <c r="L3" i="19"/>
  <c r="K3" i="19"/>
  <c r="J3" i="19"/>
  <c r="I3" i="19"/>
  <c r="H3" i="19"/>
  <c r="F7" i="6"/>
  <c r="F5" i="6"/>
  <c r="F2" i="6"/>
  <c r="H16" i="18"/>
  <c r="D7" i="18"/>
  <c r="E9" i="18" s="1"/>
  <c r="H54" i="18" s="1"/>
  <c r="D2" i="6"/>
  <c r="D7" i="6"/>
  <c r="D5" i="6"/>
  <c r="J44" i="29" l="1"/>
  <c r="J48" i="29" s="1"/>
  <c r="J50" i="29" s="1"/>
  <c r="K24" i="29"/>
  <c r="K32" i="29" s="1"/>
  <c r="K34" i="29" s="1"/>
  <c r="L10" i="29"/>
  <c r="M6" i="29"/>
  <c r="L53" i="29"/>
  <c r="M20" i="29"/>
  <c r="L14" i="29"/>
  <c r="I54" i="29"/>
  <c r="K32" i="28"/>
  <c r="K36" i="28"/>
  <c r="M20" i="28"/>
  <c r="I54" i="28"/>
  <c r="L24" i="28"/>
  <c r="M10" i="28"/>
  <c r="J44" i="28"/>
  <c r="K53" i="28"/>
  <c r="L6" i="28"/>
  <c r="K34" i="28"/>
  <c r="L14" i="28"/>
  <c r="G28" i="25"/>
  <c r="G25" i="27" s="1"/>
  <c r="H25" i="27" s="1"/>
  <c r="I25" i="27" s="1"/>
  <c r="J25" i="27" s="1"/>
  <c r="K25" i="27" s="1"/>
  <c r="L25" i="27" s="1"/>
  <c r="M25" i="27" s="1"/>
  <c r="N25" i="27" s="1"/>
  <c r="O25" i="27" s="1"/>
  <c r="P25" i="27" s="1"/>
  <c r="E9" i="22"/>
  <c r="H54" i="22" s="1"/>
  <c r="P5" i="6"/>
  <c r="G6" i="27"/>
  <c r="H6" i="27" s="1"/>
  <c r="H17" i="25"/>
  <c r="G6" i="21"/>
  <c r="G25" i="23"/>
  <c r="H25" i="23" s="1"/>
  <c r="I25" i="23" s="1"/>
  <c r="J25" i="23" s="1"/>
  <c r="K25" i="23" s="1"/>
  <c r="L25" i="23" s="1"/>
  <c r="M25" i="23" s="1"/>
  <c r="N25" i="23" s="1"/>
  <c r="O25" i="23" s="1"/>
  <c r="P25" i="23" s="1"/>
  <c r="H16" i="20"/>
  <c r="I20" i="27"/>
  <c r="G14" i="26"/>
  <c r="G16" i="26" s="1"/>
  <c r="I6" i="26"/>
  <c r="I20" i="26"/>
  <c r="E10" i="25"/>
  <c r="H55" i="25" s="1"/>
  <c r="T12" i="25"/>
  <c r="E11" i="25" s="1"/>
  <c r="E13" i="24"/>
  <c r="G19" i="24"/>
  <c r="O9" i="6" s="1"/>
  <c r="G14" i="23"/>
  <c r="G16" i="23" s="1"/>
  <c r="J20" i="23"/>
  <c r="I21" i="23"/>
  <c r="J21" i="23" s="1"/>
  <c r="K21" i="23" s="1"/>
  <c r="L21" i="23" s="1"/>
  <c r="M21" i="23" s="1"/>
  <c r="N21" i="23" s="1"/>
  <c r="O21" i="23" s="1"/>
  <c r="P21" i="23" s="1"/>
  <c r="H6" i="23"/>
  <c r="E12" i="22"/>
  <c r="G18" i="22"/>
  <c r="N9" i="6" s="1"/>
  <c r="G14" i="21"/>
  <c r="H14" i="21" s="1"/>
  <c r="I20" i="21"/>
  <c r="G14" i="19"/>
  <c r="H14" i="19" s="1"/>
  <c r="I20" i="19"/>
  <c r="H6" i="19"/>
  <c r="E12" i="18"/>
  <c r="G25" i="19"/>
  <c r="H25" i="19" s="1"/>
  <c r="I25" i="19" s="1"/>
  <c r="J25" i="19" s="1"/>
  <c r="K25" i="19" s="1"/>
  <c r="L25" i="19" s="1"/>
  <c r="M25" i="19" s="1"/>
  <c r="N25" i="19" s="1"/>
  <c r="O25" i="19" s="1"/>
  <c r="P25" i="19" s="1"/>
  <c r="G18" i="18"/>
  <c r="F9" i="6" s="1"/>
  <c r="E44" i="17"/>
  <c r="E43" i="17"/>
  <c r="G44" i="17"/>
  <c r="G43" i="17"/>
  <c r="G37" i="17"/>
  <c r="H37" i="17" s="1"/>
  <c r="I37" i="17" s="1"/>
  <c r="J37" i="17" s="1"/>
  <c r="K37" i="17" s="1"/>
  <c r="L37" i="17" s="1"/>
  <c r="M37" i="17" s="1"/>
  <c r="N37" i="17" s="1"/>
  <c r="O37" i="17" s="1"/>
  <c r="P37" i="17" s="1"/>
  <c r="J39" i="16" s="1"/>
  <c r="G26" i="17"/>
  <c r="H26" i="17" s="1"/>
  <c r="I26" i="17" s="1"/>
  <c r="J26" i="17" s="1"/>
  <c r="K26" i="17" s="1"/>
  <c r="L26" i="17" s="1"/>
  <c r="M26" i="17" s="1"/>
  <c r="N26" i="17" s="1"/>
  <c r="O26" i="17" s="1"/>
  <c r="P26" i="17" s="1"/>
  <c r="G27" i="17"/>
  <c r="H27" i="17" s="1"/>
  <c r="I27" i="17" s="1"/>
  <c r="J27" i="17" s="1"/>
  <c r="K27" i="17" s="1"/>
  <c r="L27" i="17" s="1"/>
  <c r="M27" i="17" s="1"/>
  <c r="N27" i="17" s="1"/>
  <c r="O27" i="17" s="1"/>
  <c r="P27" i="17" s="1"/>
  <c r="G28" i="17"/>
  <c r="H28" i="17" s="1"/>
  <c r="I28" i="17" s="1"/>
  <c r="J28" i="17" s="1"/>
  <c r="K28" i="17" s="1"/>
  <c r="L28" i="17" s="1"/>
  <c r="M28" i="17" s="1"/>
  <c r="N28" i="17" s="1"/>
  <c r="O28" i="17" s="1"/>
  <c r="P28" i="17" s="1"/>
  <c r="G29" i="17"/>
  <c r="H29" i="17" s="1"/>
  <c r="I29" i="17" s="1"/>
  <c r="J29" i="17" s="1"/>
  <c r="K29" i="17" s="1"/>
  <c r="L29" i="17" s="1"/>
  <c r="M29" i="17" s="1"/>
  <c r="N29" i="17" s="1"/>
  <c r="O29" i="17" s="1"/>
  <c r="P29" i="17" s="1"/>
  <c r="G30" i="17"/>
  <c r="H30" i="17" s="1"/>
  <c r="I30" i="17" s="1"/>
  <c r="J30" i="17" s="1"/>
  <c r="K30" i="17" s="1"/>
  <c r="L30" i="17" s="1"/>
  <c r="M30" i="17" s="1"/>
  <c r="N30" i="17" s="1"/>
  <c r="O30" i="17" s="1"/>
  <c r="P30" i="17" s="1"/>
  <c r="G21" i="17"/>
  <c r="H21" i="17" s="1"/>
  <c r="I21" i="17" s="1"/>
  <c r="J21" i="17" s="1"/>
  <c r="K21" i="17" s="1"/>
  <c r="L21" i="17" s="1"/>
  <c r="M21" i="17" s="1"/>
  <c r="N21" i="17" s="1"/>
  <c r="O21" i="17" s="1"/>
  <c r="P21" i="17" s="1"/>
  <c r="G22" i="17"/>
  <c r="H22" i="17" s="1"/>
  <c r="I22" i="17" s="1"/>
  <c r="J22" i="17" s="1"/>
  <c r="K22" i="17" s="1"/>
  <c r="L22" i="17" s="1"/>
  <c r="M22" i="17" s="1"/>
  <c r="N22" i="17" s="1"/>
  <c r="O22" i="17" s="1"/>
  <c r="P22" i="17" s="1"/>
  <c r="G23" i="17"/>
  <c r="H23" i="17" s="1"/>
  <c r="I23" i="17" s="1"/>
  <c r="J23" i="17" s="1"/>
  <c r="K23" i="17" s="1"/>
  <c r="L23" i="17" s="1"/>
  <c r="M23" i="17" s="1"/>
  <c r="N23" i="17" s="1"/>
  <c r="O23" i="17" s="1"/>
  <c r="P23" i="17" s="1"/>
  <c r="G20" i="17"/>
  <c r="H20" i="17" s="1"/>
  <c r="D15" i="17"/>
  <c r="G14" i="17" s="1"/>
  <c r="D14" i="17"/>
  <c r="G8" i="17"/>
  <c r="G6" i="17"/>
  <c r="R8" i="17"/>
  <c r="P3" i="17"/>
  <c r="O3" i="17"/>
  <c r="N3" i="17"/>
  <c r="M3" i="17"/>
  <c r="L3" i="17"/>
  <c r="K3" i="17"/>
  <c r="J3" i="17"/>
  <c r="I3" i="17"/>
  <c r="H3" i="17"/>
  <c r="K44" i="29" l="1"/>
  <c r="K48" i="29" s="1"/>
  <c r="K50" i="29" s="1"/>
  <c r="N6" i="29"/>
  <c r="L24" i="29"/>
  <c r="L32" i="29" s="1"/>
  <c r="L34" i="29" s="1"/>
  <c r="M10" i="29"/>
  <c r="N20" i="29"/>
  <c r="J54" i="29"/>
  <c r="M14" i="29"/>
  <c r="L32" i="28"/>
  <c r="L34" i="28" s="1"/>
  <c r="L36" i="28"/>
  <c r="M14" i="28"/>
  <c r="J48" i="28"/>
  <c r="J50" i="28" s="1"/>
  <c r="K44" i="28"/>
  <c r="K48" i="28" s="1"/>
  <c r="K50" i="28" s="1"/>
  <c r="N20" i="28"/>
  <c r="N10" i="28"/>
  <c r="M24" i="28"/>
  <c r="M6" i="28"/>
  <c r="L53" i="28"/>
  <c r="G25" i="26"/>
  <c r="H25" i="26" s="1"/>
  <c r="I25" i="26" s="1"/>
  <c r="J25" i="26" s="1"/>
  <c r="K25" i="26" s="1"/>
  <c r="L25" i="26" s="1"/>
  <c r="M25" i="26" s="1"/>
  <c r="N25" i="26" s="1"/>
  <c r="O25" i="26" s="1"/>
  <c r="P25" i="26" s="1"/>
  <c r="H14" i="26"/>
  <c r="I14" i="26" s="1"/>
  <c r="G16" i="21"/>
  <c r="H14" i="23"/>
  <c r="I14" i="23" s="1"/>
  <c r="J71" i="18"/>
  <c r="J70" i="18"/>
  <c r="J72" i="18"/>
  <c r="J71" i="22"/>
  <c r="J72" i="22"/>
  <c r="J70" i="22"/>
  <c r="G16" i="19"/>
  <c r="G8" i="27"/>
  <c r="R8" i="27" s="1"/>
  <c r="P7" i="6"/>
  <c r="H6" i="21"/>
  <c r="I6" i="21" s="1"/>
  <c r="G19" i="25"/>
  <c r="P9" i="6" s="1"/>
  <c r="G14" i="27"/>
  <c r="G26" i="22"/>
  <c r="G10" i="23"/>
  <c r="G27" i="24"/>
  <c r="G10" i="26"/>
  <c r="G26" i="18"/>
  <c r="H34" i="18" s="1"/>
  <c r="G10" i="19"/>
  <c r="I6" i="27"/>
  <c r="J20" i="27"/>
  <c r="J6" i="26"/>
  <c r="K6" i="26" s="1"/>
  <c r="J20" i="26"/>
  <c r="E13" i="25"/>
  <c r="K20" i="23"/>
  <c r="I6" i="23"/>
  <c r="I14" i="21"/>
  <c r="J20" i="21"/>
  <c r="I6" i="19"/>
  <c r="I14" i="19"/>
  <c r="J20" i="19"/>
  <c r="H14" i="17"/>
  <c r="G16" i="17"/>
  <c r="I20" i="17"/>
  <c r="H6" i="17"/>
  <c r="L44" i="29" l="1"/>
  <c r="L48" i="29" s="1"/>
  <c r="L50" i="29" s="1"/>
  <c r="O20" i="29"/>
  <c r="K54" i="29"/>
  <c r="N10" i="29"/>
  <c r="M24" i="29"/>
  <c r="M32" i="29" s="1"/>
  <c r="M34" i="29" s="1"/>
  <c r="M53" i="29"/>
  <c r="O6" i="29"/>
  <c r="N14" i="29"/>
  <c r="M32" i="28"/>
  <c r="M34" i="28" s="1"/>
  <c r="M36" i="28"/>
  <c r="N6" i="28"/>
  <c r="M53" i="28"/>
  <c r="J54" i="28"/>
  <c r="K54" i="28" s="1"/>
  <c r="N14" i="28"/>
  <c r="O10" i="28"/>
  <c r="N24" i="28"/>
  <c r="L44" i="28"/>
  <c r="L48" i="28" s="1"/>
  <c r="L50" i="28" s="1"/>
  <c r="O20" i="28"/>
  <c r="H35" i="24"/>
  <c r="H36" i="18"/>
  <c r="H42" i="18" s="1"/>
  <c r="H44" i="18" s="1"/>
  <c r="E66" i="18"/>
  <c r="N70" i="18"/>
  <c r="N72" i="18"/>
  <c r="N71" i="18"/>
  <c r="H10" i="26"/>
  <c r="G51" i="26"/>
  <c r="G24" i="26"/>
  <c r="G32" i="26" s="1"/>
  <c r="G34" i="26" s="1"/>
  <c r="G40" i="26" s="1"/>
  <c r="G42" i="26" s="1"/>
  <c r="G46" i="26" s="1"/>
  <c r="G52" i="26" s="1"/>
  <c r="G10" i="27"/>
  <c r="G24" i="19"/>
  <c r="G32" i="19" s="1"/>
  <c r="G34" i="19" s="1"/>
  <c r="G40" i="19" s="1"/>
  <c r="G42" i="19" s="1"/>
  <c r="G46" i="19" s="1"/>
  <c r="G48" i="19" s="1"/>
  <c r="H10" i="19"/>
  <c r="G51" i="19"/>
  <c r="G16" i="27"/>
  <c r="H14" i="27"/>
  <c r="G24" i="23"/>
  <c r="G32" i="23" s="1"/>
  <c r="G34" i="23" s="1"/>
  <c r="G40" i="23" s="1"/>
  <c r="G42" i="23" s="1"/>
  <c r="G46" i="23" s="1"/>
  <c r="G48" i="23" s="1"/>
  <c r="G51" i="23"/>
  <c r="H10" i="23"/>
  <c r="H34" i="22"/>
  <c r="G27" i="25"/>
  <c r="H35" i="25" s="1"/>
  <c r="K20" i="27"/>
  <c r="J6" i="27"/>
  <c r="L6" i="26"/>
  <c r="J14" i="26"/>
  <c r="K20" i="26"/>
  <c r="L20" i="23"/>
  <c r="J14" i="23"/>
  <c r="J6" i="23"/>
  <c r="K20" i="21"/>
  <c r="J6" i="21"/>
  <c r="J14" i="21"/>
  <c r="K20" i="19"/>
  <c r="J14" i="19"/>
  <c r="J6" i="19"/>
  <c r="J20" i="17"/>
  <c r="I14" i="17"/>
  <c r="I6" i="17"/>
  <c r="M44" i="29" l="1"/>
  <c r="M48" i="29" s="1"/>
  <c r="M50" i="29" s="1"/>
  <c r="O14" i="29"/>
  <c r="O10" i="29"/>
  <c r="N24" i="29"/>
  <c r="N32" i="29" s="1"/>
  <c r="N34" i="29" s="1"/>
  <c r="L54" i="29"/>
  <c r="P20" i="29"/>
  <c r="N53" i="29"/>
  <c r="P6" i="29"/>
  <c r="N32" i="28"/>
  <c r="N36" i="28"/>
  <c r="P20" i="28"/>
  <c r="O24" i="28"/>
  <c r="P10" i="28"/>
  <c r="P24" i="28" s="1"/>
  <c r="P36" i="28" s="1"/>
  <c r="M44" i="28"/>
  <c r="M48" i="28" s="1"/>
  <c r="M50" i="28" s="1"/>
  <c r="O14" i="28"/>
  <c r="N34" i="28"/>
  <c r="L54" i="28"/>
  <c r="N53" i="28"/>
  <c r="O6" i="28"/>
  <c r="N73" i="24"/>
  <c r="N72" i="24"/>
  <c r="N71" i="24"/>
  <c r="H37" i="25"/>
  <c r="E67" i="25"/>
  <c r="N73" i="25"/>
  <c r="N72" i="25"/>
  <c r="N71" i="25"/>
  <c r="E67" i="24"/>
  <c r="H37" i="24"/>
  <c r="H36" i="22"/>
  <c r="N11" i="6" s="1"/>
  <c r="E66" i="22"/>
  <c r="N72" i="22"/>
  <c r="N71" i="22"/>
  <c r="N70" i="22"/>
  <c r="F11" i="6"/>
  <c r="E70" i="18"/>
  <c r="E77" i="18" s="1"/>
  <c r="E72" i="18"/>
  <c r="E79" i="18" s="1"/>
  <c r="E71" i="18"/>
  <c r="E78" i="18" s="1"/>
  <c r="G52" i="19"/>
  <c r="H43" i="25"/>
  <c r="H45" i="25" s="1"/>
  <c r="P11" i="6"/>
  <c r="G52" i="23"/>
  <c r="H24" i="19"/>
  <c r="H32" i="19" s="1"/>
  <c r="H34" i="19" s="1"/>
  <c r="H40" i="19" s="1"/>
  <c r="H42" i="19" s="1"/>
  <c r="I10" i="19"/>
  <c r="H51" i="19"/>
  <c r="G48" i="26"/>
  <c r="H42" i="22"/>
  <c r="H44" i="22" s="1"/>
  <c r="I14" i="27"/>
  <c r="G51" i="27"/>
  <c r="H10" i="27"/>
  <c r="G24" i="27"/>
  <c r="G32" i="27" s="1"/>
  <c r="G34" i="27" s="1"/>
  <c r="G40" i="27" s="1"/>
  <c r="G42" i="27" s="1"/>
  <c r="G46" i="27" s="1"/>
  <c r="H24" i="23"/>
  <c r="H32" i="23" s="1"/>
  <c r="H34" i="23" s="1"/>
  <c r="H40" i="23" s="1"/>
  <c r="H42" i="23" s="1"/>
  <c r="H46" i="23" s="1"/>
  <c r="H48" i="23" s="1"/>
  <c r="I10" i="23"/>
  <c r="H51" i="23"/>
  <c r="H24" i="26"/>
  <c r="H32" i="26" s="1"/>
  <c r="H34" i="26" s="1"/>
  <c r="H40" i="26" s="1"/>
  <c r="H42" i="26" s="1"/>
  <c r="H46" i="26" s="1"/>
  <c r="H48" i="26" s="1"/>
  <c r="I10" i="26"/>
  <c r="H51" i="26"/>
  <c r="K6" i="27"/>
  <c r="L20" i="27"/>
  <c r="K14" i="26"/>
  <c r="M6" i="26"/>
  <c r="L20" i="26"/>
  <c r="K6" i="23"/>
  <c r="K14" i="23"/>
  <c r="M20" i="23"/>
  <c r="L20" i="21"/>
  <c r="K14" i="21"/>
  <c r="K6" i="21"/>
  <c r="H48" i="18"/>
  <c r="F15" i="6" s="1"/>
  <c r="F13" i="6"/>
  <c r="L20" i="19"/>
  <c r="K6" i="19"/>
  <c r="K14" i="19"/>
  <c r="J14" i="17"/>
  <c r="J6" i="17"/>
  <c r="K20" i="17"/>
  <c r="N44" i="29" l="1"/>
  <c r="N48" i="29" s="1"/>
  <c r="N50" i="29" s="1"/>
  <c r="M54" i="29"/>
  <c r="O24" i="29"/>
  <c r="O32" i="29" s="1"/>
  <c r="O34" i="29" s="1"/>
  <c r="P10" i="29"/>
  <c r="P24" i="29" s="1"/>
  <c r="P32" i="29" s="1"/>
  <c r="O53" i="29"/>
  <c r="P53" i="29"/>
  <c r="R53" i="29" s="1"/>
  <c r="P14" i="29"/>
  <c r="O32" i="28"/>
  <c r="O34" i="28" s="1"/>
  <c r="O36" i="28"/>
  <c r="P14" i="28"/>
  <c r="O53" i="28"/>
  <c r="P6" i="28"/>
  <c r="P53" i="28" s="1"/>
  <c r="R53" i="28" s="1"/>
  <c r="N44" i="28"/>
  <c r="N48" i="28" s="1"/>
  <c r="N50" i="28" s="1"/>
  <c r="M54" i="28"/>
  <c r="P32" i="28"/>
  <c r="E71" i="24"/>
  <c r="E78" i="24" s="1"/>
  <c r="E73" i="24"/>
  <c r="E72" i="24"/>
  <c r="E71" i="25"/>
  <c r="E78" i="25" s="1"/>
  <c r="E72" i="25"/>
  <c r="E79" i="25" s="1"/>
  <c r="E73" i="25"/>
  <c r="E80" i="25" s="1"/>
  <c r="H43" i="24"/>
  <c r="H45" i="24" s="1"/>
  <c r="O11" i="6"/>
  <c r="E72" i="22"/>
  <c r="E79" i="22" s="1"/>
  <c r="E70" i="22"/>
  <c r="E77" i="22" s="1"/>
  <c r="E71" i="22"/>
  <c r="E78" i="22" s="1"/>
  <c r="G52" i="18"/>
  <c r="H50" i="18"/>
  <c r="G56" i="18"/>
  <c r="H52" i="23"/>
  <c r="I51" i="19"/>
  <c r="J10" i="19"/>
  <c r="I24" i="19"/>
  <c r="I32" i="19" s="1"/>
  <c r="I34" i="19" s="1"/>
  <c r="I40" i="19" s="1"/>
  <c r="I42" i="19" s="1"/>
  <c r="I46" i="19" s="1"/>
  <c r="I48" i="19" s="1"/>
  <c r="I51" i="23"/>
  <c r="I24" i="23"/>
  <c r="I32" i="23" s="1"/>
  <c r="I34" i="23" s="1"/>
  <c r="I40" i="23" s="1"/>
  <c r="I42" i="23" s="1"/>
  <c r="I46" i="23" s="1"/>
  <c r="I48" i="23" s="1"/>
  <c r="J10" i="23"/>
  <c r="H46" i="19"/>
  <c r="H48" i="19" s="1"/>
  <c r="H48" i="22"/>
  <c r="N13" i="6"/>
  <c r="G48" i="27"/>
  <c r="G52" i="27"/>
  <c r="J14" i="27"/>
  <c r="I24" i="26"/>
  <c r="I32" i="26" s="1"/>
  <c r="I34" i="26" s="1"/>
  <c r="I40" i="26" s="1"/>
  <c r="I42" i="26" s="1"/>
  <c r="J10" i="26"/>
  <c r="I51" i="26"/>
  <c r="H52" i="26"/>
  <c r="H24" i="27"/>
  <c r="H32" i="27" s="1"/>
  <c r="H34" i="27" s="1"/>
  <c r="H40" i="27" s="1"/>
  <c r="H42" i="27" s="1"/>
  <c r="H46" i="27" s="1"/>
  <c r="H48" i="27" s="1"/>
  <c r="I10" i="27"/>
  <c r="H51" i="27"/>
  <c r="H49" i="25"/>
  <c r="P13" i="6"/>
  <c r="L6" i="27"/>
  <c r="M20" i="27"/>
  <c r="M20" i="26"/>
  <c r="L14" i="26"/>
  <c r="N6" i="26"/>
  <c r="N20" i="23"/>
  <c r="L14" i="23"/>
  <c r="L6" i="23"/>
  <c r="L6" i="21"/>
  <c r="M20" i="21"/>
  <c r="L14" i="21"/>
  <c r="L14" i="19"/>
  <c r="L6" i="19"/>
  <c r="M20" i="19"/>
  <c r="L20" i="17"/>
  <c r="K14" i="17"/>
  <c r="K6" i="17"/>
  <c r="O44" i="29" l="1"/>
  <c r="O48" i="29" s="1"/>
  <c r="O50" i="29" s="1"/>
  <c r="N54" i="29"/>
  <c r="P34" i="29"/>
  <c r="N54" i="28"/>
  <c r="P34" i="28"/>
  <c r="O44" i="28"/>
  <c r="O48" i="28" s="1"/>
  <c r="O50" i="28" s="1"/>
  <c r="E79" i="24"/>
  <c r="E80" i="24"/>
  <c r="H49" i="24"/>
  <c r="O13" i="6"/>
  <c r="H52" i="19"/>
  <c r="I52" i="19" s="1"/>
  <c r="I46" i="26"/>
  <c r="I48" i="26" s="1"/>
  <c r="N15" i="6"/>
  <c r="N16" i="6" s="1"/>
  <c r="H50" i="22"/>
  <c r="G56" i="22"/>
  <c r="G52" i="22"/>
  <c r="J24" i="23"/>
  <c r="J32" i="23" s="1"/>
  <c r="J34" i="23" s="1"/>
  <c r="J40" i="23" s="1"/>
  <c r="J42" i="23" s="1"/>
  <c r="J51" i="23"/>
  <c r="K10" i="23"/>
  <c r="I24" i="27"/>
  <c r="I32" i="27" s="1"/>
  <c r="I34" i="27" s="1"/>
  <c r="J10" i="27"/>
  <c r="I51" i="27"/>
  <c r="H52" i="27"/>
  <c r="J51" i="19"/>
  <c r="K10" i="19"/>
  <c r="J24" i="19"/>
  <c r="J32" i="19" s="1"/>
  <c r="J34" i="19" s="1"/>
  <c r="J40" i="19" s="1"/>
  <c r="J42" i="19" s="1"/>
  <c r="J46" i="19" s="1"/>
  <c r="J48" i="19" s="1"/>
  <c r="K14" i="27"/>
  <c r="I52" i="23"/>
  <c r="H51" i="25"/>
  <c r="P15" i="6"/>
  <c r="P16" i="6" s="1"/>
  <c r="G57" i="25"/>
  <c r="G53" i="25"/>
  <c r="K10" i="26"/>
  <c r="J24" i="26"/>
  <c r="J32" i="26" s="1"/>
  <c r="J34" i="26" s="1"/>
  <c r="J40" i="26" s="1"/>
  <c r="J42" i="26" s="1"/>
  <c r="J46" i="26" s="1"/>
  <c r="J48" i="26" s="1"/>
  <c r="J51" i="26"/>
  <c r="M6" i="27"/>
  <c r="N20" i="27"/>
  <c r="M14" i="26"/>
  <c r="O6" i="26"/>
  <c r="N20" i="26"/>
  <c r="O20" i="23"/>
  <c r="M14" i="23"/>
  <c r="M6" i="23"/>
  <c r="M14" i="21"/>
  <c r="N20" i="21"/>
  <c r="M6" i="21"/>
  <c r="N20" i="19"/>
  <c r="M14" i="19"/>
  <c r="M6" i="19"/>
  <c r="L6" i="17"/>
  <c r="M20" i="17"/>
  <c r="L14" i="17"/>
  <c r="P44" i="29" l="1"/>
  <c r="R44" i="29" s="1"/>
  <c r="O54" i="29"/>
  <c r="P44" i="28"/>
  <c r="R44" i="28" s="1"/>
  <c r="O54" i="28"/>
  <c r="I52" i="26"/>
  <c r="J52" i="26" s="1"/>
  <c r="G57" i="24"/>
  <c r="G53" i="24"/>
  <c r="O15" i="6"/>
  <c r="O16" i="6" s="1"/>
  <c r="H51" i="24"/>
  <c r="J52" i="19"/>
  <c r="J46" i="23"/>
  <c r="J48" i="23" s="1"/>
  <c r="K24" i="26"/>
  <c r="K32" i="26" s="1"/>
  <c r="K34" i="26" s="1"/>
  <c r="K40" i="26" s="1"/>
  <c r="K42" i="26" s="1"/>
  <c r="K46" i="26" s="1"/>
  <c r="K48" i="26" s="1"/>
  <c r="K51" i="26"/>
  <c r="L10" i="26"/>
  <c r="J24" i="27"/>
  <c r="J32" i="27" s="1"/>
  <c r="J34" i="27" s="1"/>
  <c r="K10" i="27"/>
  <c r="J51" i="27"/>
  <c r="I40" i="27"/>
  <c r="I42" i="27" s="1"/>
  <c r="I46" i="27" s="1"/>
  <c r="I48" i="27" s="1"/>
  <c r="L14" i="27"/>
  <c r="K51" i="19"/>
  <c r="L10" i="19"/>
  <c r="K24" i="19"/>
  <c r="K32" i="19" s="1"/>
  <c r="K34" i="19" s="1"/>
  <c r="K40" i="19" s="1"/>
  <c r="K42" i="19" s="1"/>
  <c r="K46" i="19" s="1"/>
  <c r="K48" i="19" s="1"/>
  <c r="K24" i="23"/>
  <c r="K32" i="23" s="1"/>
  <c r="K34" i="23" s="1"/>
  <c r="K40" i="23" s="1"/>
  <c r="K42" i="23" s="1"/>
  <c r="K46" i="23" s="1"/>
  <c r="K48" i="23" s="1"/>
  <c r="L10" i="23"/>
  <c r="K51" i="23"/>
  <c r="O20" i="27"/>
  <c r="N6" i="27"/>
  <c r="O20" i="26"/>
  <c r="N14" i="26"/>
  <c r="P6" i="26"/>
  <c r="P20" i="23"/>
  <c r="N6" i="23"/>
  <c r="N14" i="23"/>
  <c r="N6" i="21"/>
  <c r="O20" i="21"/>
  <c r="N14" i="21"/>
  <c r="N6" i="19"/>
  <c r="O20" i="19"/>
  <c r="N14" i="19"/>
  <c r="M14" i="17"/>
  <c r="M6" i="17"/>
  <c r="N20" i="17"/>
  <c r="P48" i="29" l="1"/>
  <c r="P50" i="29" s="1"/>
  <c r="P48" i="28"/>
  <c r="P50" i="28" s="1"/>
  <c r="J52" i="23"/>
  <c r="K52" i="23" s="1"/>
  <c r="L51" i="26"/>
  <c r="M10" i="26"/>
  <c r="L24" i="26"/>
  <c r="L32" i="26" s="1"/>
  <c r="L34" i="26" s="1"/>
  <c r="L40" i="26" s="1"/>
  <c r="L42" i="26" s="1"/>
  <c r="L46" i="26" s="1"/>
  <c r="L48" i="26" s="1"/>
  <c r="K52" i="26"/>
  <c r="K24" i="27"/>
  <c r="K32" i="27" s="1"/>
  <c r="K34" i="27" s="1"/>
  <c r="K40" i="27" s="1"/>
  <c r="K42" i="27" s="1"/>
  <c r="K46" i="27" s="1"/>
  <c r="K48" i="27" s="1"/>
  <c r="L10" i="27"/>
  <c r="K51" i="27"/>
  <c r="J40" i="27"/>
  <c r="J42" i="27" s="1"/>
  <c r="J46" i="27" s="1"/>
  <c r="J48" i="27" s="1"/>
  <c r="M10" i="19"/>
  <c r="L51" i="19"/>
  <c r="L24" i="19"/>
  <c r="L32" i="19" s="1"/>
  <c r="L34" i="19" s="1"/>
  <c r="L40" i="19" s="1"/>
  <c r="L42" i="19" s="1"/>
  <c r="L46" i="19" s="1"/>
  <c r="L48" i="19" s="1"/>
  <c r="J6" i="24"/>
  <c r="M14" i="27"/>
  <c r="K52" i="19"/>
  <c r="L24" i="23"/>
  <c r="L32" i="23" s="1"/>
  <c r="L34" i="23" s="1"/>
  <c r="L40" i="23" s="1"/>
  <c r="L42" i="23" s="1"/>
  <c r="L46" i="23" s="1"/>
  <c r="L48" i="23" s="1"/>
  <c r="L51" i="23"/>
  <c r="M10" i="23"/>
  <c r="I52" i="27"/>
  <c r="O6" i="27"/>
  <c r="P20" i="27"/>
  <c r="P20" i="26"/>
  <c r="O14" i="26"/>
  <c r="O14" i="23"/>
  <c r="O6" i="23"/>
  <c r="P20" i="21"/>
  <c r="O6" i="21"/>
  <c r="O14" i="21"/>
  <c r="P20" i="19"/>
  <c r="O14" i="19"/>
  <c r="O6" i="19"/>
  <c r="O20" i="17"/>
  <c r="N6" i="17"/>
  <c r="N14" i="17"/>
  <c r="P54" i="29" l="1"/>
  <c r="P54" i="28"/>
  <c r="L52" i="19"/>
  <c r="L52" i="26"/>
  <c r="L52" i="23"/>
  <c r="J52" i="27"/>
  <c r="K52" i="27" s="1"/>
  <c r="M24" i="19"/>
  <c r="M32" i="19" s="1"/>
  <c r="M34" i="19" s="1"/>
  <c r="M40" i="19" s="1"/>
  <c r="M42" i="19" s="1"/>
  <c r="M46" i="19" s="1"/>
  <c r="M48" i="19" s="1"/>
  <c r="M51" i="19"/>
  <c r="N10" i="19"/>
  <c r="M10" i="27"/>
  <c r="L24" i="27"/>
  <c r="L32" i="27" s="1"/>
  <c r="L34" i="27" s="1"/>
  <c r="L40" i="27" s="1"/>
  <c r="L42" i="27" s="1"/>
  <c r="L46" i="27" s="1"/>
  <c r="L48" i="27" s="1"/>
  <c r="L51" i="27"/>
  <c r="M51" i="23"/>
  <c r="N10" i="23"/>
  <c r="M24" i="23"/>
  <c r="M32" i="23" s="1"/>
  <c r="M34" i="23" s="1"/>
  <c r="M40" i="23" s="1"/>
  <c r="M42" i="23" s="1"/>
  <c r="M46" i="23" s="1"/>
  <c r="M24" i="26"/>
  <c r="M32" i="26" s="1"/>
  <c r="M34" i="26" s="1"/>
  <c r="M40" i="26" s="1"/>
  <c r="M42" i="26" s="1"/>
  <c r="M46" i="26" s="1"/>
  <c r="M48" i="26" s="1"/>
  <c r="N10" i="26"/>
  <c r="M51" i="26"/>
  <c r="N14" i="27"/>
  <c r="P6" i="27"/>
  <c r="P14" i="26"/>
  <c r="P14" i="23"/>
  <c r="J16" i="22" s="1"/>
  <c r="P6" i="23"/>
  <c r="J6" i="22" s="1"/>
  <c r="P14" i="21"/>
  <c r="J16" i="20" s="1"/>
  <c r="P6" i="21"/>
  <c r="P14" i="19"/>
  <c r="J16" i="18" s="1"/>
  <c r="P6" i="19"/>
  <c r="J6" i="18" s="1"/>
  <c r="O14" i="17"/>
  <c r="O6" i="17"/>
  <c r="P20" i="17"/>
  <c r="M52" i="23" l="1"/>
  <c r="M48" i="23"/>
  <c r="M52" i="19"/>
  <c r="J6" i="25"/>
  <c r="N51" i="26"/>
  <c r="O10" i="26"/>
  <c r="N24" i="26"/>
  <c r="N32" i="26" s="1"/>
  <c r="N34" i="26" s="1"/>
  <c r="N40" i="26" s="1"/>
  <c r="N42" i="26" s="1"/>
  <c r="N46" i="26" s="1"/>
  <c r="N48" i="26" s="1"/>
  <c r="N10" i="27"/>
  <c r="M24" i="27"/>
  <c r="M32" i="27" s="1"/>
  <c r="M34" i="27" s="1"/>
  <c r="M40" i="27" s="1"/>
  <c r="M42" i="27" s="1"/>
  <c r="M46" i="27" s="1"/>
  <c r="M48" i="27" s="1"/>
  <c r="M51" i="27"/>
  <c r="L52" i="27"/>
  <c r="J17" i="24"/>
  <c r="O14" i="27"/>
  <c r="N51" i="23"/>
  <c r="N24" i="23"/>
  <c r="N32" i="23" s="1"/>
  <c r="N34" i="23" s="1"/>
  <c r="N40" i="23" s="1"/>
  <c r="N42" i="23" s="1"/>
  <c r="N46" i="23" s="1"/>
  <c r="N48" i="23" s="1"/>
  <c r="O10" i="23"/>
  <c r="N51" i="19"/>
  <c r="O10" i="19"/>
  <c r="N24" i="19"/>
  <c r="N32" i="19" s="1"/>
  <c r="N34" i="19" s="1"/>
  <c r="N40" i="19" s="1"/>
  <c r="N42" i="19" s="1"/>
  <c r="N46" i="19" s="1"/>
  <c r="N48" i="19" s="1"/>
  <c r="J6" i="20"/>
  <c r="M52" i="26"/>
  <c r="P14" i="17"/>
  <c r="J16" i="16" s="1"/>
  <c r="P6" i="17"/>
  <c r="J6" i="16" s="1"/>
  <c r="N52" i="23" l="1"/>
  <c r="N52" i="19"/>
  <c r="M52" i="27"/>
  <c r="O10" i="27"/>
  <c r="N24" i="27"/>
  <c r="N32" i="27" s="1"/>
  <c r="N34" i="27" s="1"/>
  <c r="N40" i="27" s="1"/>
  <c r="N42" i="27" s="1"/>
  <c r="N46" i="27" s="1"/>
  <c r="N48" i="27" s="1"/>
  <c r="N51" i="27"/>
  <c r="O51" i="23"/>
  <c r="O24" i="23"/>
  <c r="O32" i="23" s="1"/>
  <c r="O34" i="23" s="1"/>
  <c r="O40" i="23" s="1"/>
  <c r="O42" i="23" s="1"/>
  <c r="O46" i="23" s="1"/>
  <c r="O48" i="23" s="1"/>
  <c r="P10" i="23"/>
  <c r="P10" i="26"/>
  <c r="O51" i="26"/>
  <c r="O24" i="26"/>
  <c r="O32" i="26" s="1"/>
  <c r="O34" i="26" s="1"/>
  <c r="O40" i="26" s="1"/>
  <c r="O42" i="26" s="1"/>
  <c r="O46" i="26" s="1"/>
  <c r="O48" i="26" s="1"/>
  <c r="N52" i="26"/>
  <c r="O51" i="19"/>
  <c r="O24" i="19"/>
  <c r="O32" i="19" s="1"/>
  <c r="O34" i="19" s="1"/>
  <c r="O40" i="19" s="1"/>
  <c r="O42" i="19" s="1"/>
  <c r="O46" i="19" s="1"/>
  <c r="O48" i="19" s="1"/>
  <c r="P10" i="19"/>
  <c r="P14" i="27"/>
  <c r="H16" i="16"/>
  <c r="G27" i="16" s="1"/>
  <c r="D7" i="16"/>
  <c r="G37" i="5"/>
  <c r="G6" i="5"/>
  <c r="H6" i="5" s="1"/>
  <c r="I6" i="5" s="1"/>
  <c r="J6" i="5" s="1"/>
  <c r="K6" i="5" s="1"/>
  <c r="L6" i="5" s="1"/>
  <c r="M6" i="5" s="1"/>
  <c r="N6" i="5" s="1"/>
  <c r="O6" i="5" s="1"/>
  <c r="P6" i="5" s="1"/>
  <c r="J6" i="1" s="1"/>
  <c r="I3" i="5"/>
  <c r="J3" i="5"/>
  <c r="K3" i="5"/>
  <c r="L3" i="5"/>
  <c r="M3" i="5"/>
  <c r="N3" i="5"/>
  <c r="O3" i="5"/>
  <c r="P3" i="5"/>
  <c r="H3" i="5"/>
  <c r="E9" i="1"/>
  <c r="AE8" i="4"/>
  <c r="O52" i="26" l="1"/>
  <c r="O52" i="23"/>
  <c r="J17" i="25"/>
  <c r="E9" i="16"/>
  <c r="E12" i="16" s="1"/>
  <c r="D7" i="20"/>
  <c r="E9" i="20" s="1"/>
  <c r="O52" i="19"/>
  <c r="P24" i="19"/>
  <c r="P51" i="19"/>
  <c r="P24" i="26"/>
  <c r="P51" i="26"/>
  <c r="P10" i="27"/>
  <c r="O24" i="27"/>
  <c r="O32" i="27" s="1"/>
  <c r="O34" i="27" s="1"/>
  <c r="O40" i="27" s="1"/>
  <c r="O42" i="27" s="1"/>
  <c r="O46" i="27" s="1"/>
  <c r="O48" i="27" s="1"/>
  <c r="O51" i="27"/>
  <c r="P24" i="23"/>
  <c r="P51" i="23"/>
  <c r="N52" i="27"/>
  <c r="H54" i="16" l="1"/>
  <c r="J72" i="16"/>
  <c r="J70" i="16"/>
  <c r="J71" i="16"/>
  <c r="G18" i="16"/>
  <c r="D9" i="6" s="1"/>
  <c r="O52" i="27"/>
  <c r="P24" i="27"/>
  <c r="P51" i="27"/>
  <c r="H54" i="20"/>
  <c r="E12" i="20"/>
  <c r="G18" i="20"/>
  <c r="G9" i="6" s="1"/>
  <c r="R51" i="23"/>
  <c r="N20" i="6" s="1"/>
  <c r="N22" i="6"/>
  <c r="J27" i="24"/>
  <c r="P32" i="26"/>
  <c r="R51" i="26"/>
  <c r="O20" i="6" s="1"/>
  <c r="O22" i="6"/>
  <c r="P32" i="19"/>
  <c r="J26" i="18"/>
  <c r="P32" i="23"/>
  <c r="J26" i="22"/>
  <c r="R51" i="19"/>
  <c r="F20" i="6" s="1"/>
  <c r="F22" i="6"/>
  <c r="G27" i="20"/>
  <c r="G25" i="21" s="1"/>
  <c r="H25" i="21" s="1"/>
  <c r="I25" i="21" s="1"/>
  <c r="J25" i="21" s="1"/>
  <c r="K25" i="21" s="1"/>
  <c r="L25" i="21" s="1"/>
  <c r="M25" i="21" s="1"/>
  <c r="N25" i="21" s="1"/>
  <c r="O25" i="21" s="1"/>
  <c r="P25" i="21" s="1"/>
  <c r="G25" i="17"/>
  <c r="H25" i="17" s="1"/>
  <c r="I25" i="17" s="1"/>
  <c r="J25" i="17" s="1"/>
  <c r="K25" i="17" s="1"/>
  <c r="L25" i="17" s="1"/>
  <c r="M25" i="17" s="1"/>
  <c r="N25" i="17" s="1"/>
  <c r="O25" i="17" s="1"/>
  <c r="P25" i="17" s="1"/>
  <c r="G26" i="16"/>
  <c r="H34" i="16" s="1"/>
  <c r="G10" i="17"/>
  <c r="AE10" i="4"/>
  <c r="AF10" i="4"/>
  <c r="AF8" i="4" s="1"/>
  <c r="AG10" i="4"/>
  <c r="AH10" i="4"/>
  <c r="AI10" i="4"/>
  <c r="AJ10" i="4"/>
  <c r="AK10" i="4"/>
  <c r="AL10" i="4"/>
  <c r="AM10" i="4"/>
  <c r="AD10" i="4"/>
  <c r="J70" i="20" l="1"/>
  <c r="J71" i="20"/>
  <c r="J72" i="20"/>
  <c r="H36" i="16"/>
  <c r="H42" i="16" s="1"/>
  <c r="H44" i="16" s="1"/>
  <c r="E66" i="16"/>
  <c r="N70" i="16"/>
  <c r="N71" i="16"/>
  <c r="N72" i="16"/>
  <c r="J34" i="18"/>
  <c r="J36" i="18" s="1"/>
  <c r="J42" i="18" s="1"/>
  <c r="J44" i="18" s="1"/>
  <c r="J48" i="18" s="1"/>
  <c r="J50" i="18" s="1"/>
  <c r="P34" i="19"/>
  <c r="G26" i="20"/>
  <c r="H34" i="20" s="1"/>
  <c r="G10" i="21"/>
  <c r="J35" i="24"/>
  <c r="J37" i="24" s="1"/>
  <c r="J43" i="24" s="1"/>
  <c r="J45" i="24" s="1"/>
  <c r="J49" i="24" s="1"/>
  <c r="J51" i="24" s="1"/>
  <c r="P34" i="26"/>
  <c r="R51" i="27"/>
  <c r="P20" i="6" s="1"/>
  <c r="P22" i="6"/>
  <c r="J34" i="22"/>
  <c r="J36" i="22" s="1"/>
  <c r="J42" i="22" s="1"/>
  <c r="J44" i="22" s="1"/>
  <c r="J48" i="22" s="1"/>
  <c r="J50" i="22" s="1"/>
  <c r="P34" i="23"/>
  <c r="J27" i="25"/>
  <c r="P32" i="27"/>
  <c r="H10" i="17"/>
  <c r="G24" i="17"/>
  <c r="G32" i="17" s="1"/>
  <c r="G34" i="17" s="1"/>
  <c r="G40" i="17" s="1"/>
  <c r="G42" i="17" s="1"/>
  <c r="G46" i="17" s="1"/>
  <c r="G51" i="17"/>
  <c r="D11" i="6" l="1"/>
  <c r="H36" i="20"/>
  <c r="G11" i="6" s="1"/>
  <c r="E66" i="20"/>
  <c r="N72" i="20"/>
  <c r="N71" i="20"/>
  <c r="N70" i="20"/>
  <c r="E70" i="16"/>
  <c r="E77" i="16" s="1"/>
  <c r="E72" i="16"/>
  <c r="E79" i="16" s="1"/>
  <c r="E71" i="16"/>
  <c r="E78" i="16" s="1"/>
  <c r="P40" i="23"/>
  <c r="P42" i="23" s="1"/>
  <c r="R42" i="23" s="1"/>
  <c r="H10" i="21"/>
  <c r="G24" i="21"/>
  <c r="G32" i="21" s="1"/>
  <c r="G34" i="21" s="1"/>
  <c r="G40" i="21" s="1"/>
  <c r="G42" i="21" s="1"/>
  <c r="G46" i="21" s="1"/>
  <c r="G51" i="21"/>
  <c r="H48" i="16"/>
  <c r="D13" i="6"/>
  <c r="J35" i="25"/>
  <c r="J37" i="25" s="1"/>
  <c r="J43" i="25" s="1"/>
  <c r="J45" i="25" s="1"/>
  <c r="J49" i="25" s="1"/>
  <c r="J51" i="25" s="1"/>
  <c r="P34" i="27"/>
  <c r="P40" i="26"/>
  <c r="P42" i="26" s="1"/>
  <c r="R42" i="26" s="1"/>
  <c r="P40" i="19"/>
  <c r="P42" i="19" s="1"/>
  <c r="R42" i="19" s="1"/>
  <c r="G48" i="17"/>
  <c r="G52" i="17"/>
  <c r="H24" i="17"/>
  <c r="H32" i="17" s="1"/>
  <c r="H34" i="17" s="1"/>
  <c r="H40" i="17" s="1"/>
  <c r="H42" i="17" s="1"/>
  <c r="H46" i="17" s="1"/>
  <c r="H48" i="17" s="1"/>
  <c r="I10" i="17"/>
  <c r="H51" i="17"/>
  <c r="B7" i="6"/>
  <c r="B5" i="6"/>
  <c r="B2" i="6"/>
  <c r="H42" i="20" l="1"/>
  <c r="H44" i="20" s="1"/>
  <c r="H48" i="20" s="1"/>
  <c r="E72" i="20"/>
  <c r="E71" i="20"/>
  <c r="E70" i="20"/>
  <c r="P46" i="19"/>
  <c r="P48" i="19" s="1"/>
  <c r="P46" i="23"/>
  <c r="P48" i="23" s="1"/>
  <c r="P46" i="26"/>
  <c r="P48" i="26" s="1"/>
  <c r="P40" i="27"/>
  <c r="P42" i="27" s="1"/>
  <c r="R42" i="27" s="1"/>
  <c r="G52" i="21"/>
  <c r="G48" i="21"/>
  <c r="H24" i="21"/>
  <c r="H32" i="21" s="1"/>
  <c r="H34" i="21" s="1"/>
  <c r="H40" i="21" s="1"/>
  <c r="H42" i="21" s="1"/>
  <c r="I10" i="21"/>
  <c r="H51" i="21"/>
  <c r="D15" i="6"/>
  <c r="G52" i="16"/>
  <c r="H50" i="16"/>
  <c r="G56" i="16"/>
  <c r="I24" i="17"/>
  <c r="I32" i="17" s="1"/>
  <c r="I34" i="17" s="1"/>
  <c r="I40" i="17" s="1"/>
  <c r="I42" i="17" s="1"/>
  <c r="I46" i="17" s="1"/>
  <c r="I48" i="17" s="1"/>
  <c r="J10" i="17"/>
  <c r="I51" i="17"/>
  <c r="H52" i="17"/>
  <c r="P52" i="19" l="1"/>
  <c r="F18" i="6" s="1"/>
  <c r="P52" i="23"/>
  <c r="N18" i="6" s="1"/>
  <c r="P46" i="27"/>
  <c r="P52" i="27" s="1"/>
  <c r="P18" i="6" s="1"/>
  <c r="G13" i="6"/>
  <c r="E77" i="20"/>
  <c r="E78" i="20"/>
  <c r="E79" i="20"/>
  <c r="P52" i="26"/>
  <c r="O18" i="6" s="1"/>
  <c r="J10" i="21"/>
  <c r="I24" i="21"/>
  <c r="I32" i="21" s="1"/>
  <c r="I34" i="21" s="1"/>
  <c r="I40" i="21" s="1"/>
  <c r="I42" i="21" s="1"/>
  <c r="I46" i="21" s="1"/>
  <c r="I48" i="21" s="1"/>
  <c r="I51" i="21"/>
  <c r="H46" i="21"/>
  <c r="H48" i="21" s="1"/>
  <c r="G15" i="6"/>
  <c r="H50" i="20"/>
  <c r="G56" i="20"/>
  <c r="G52" i="20"/>
  <c r="I52" i="17"/>
  <c r="K10" i="17"/>
  <c r="J24" i="17"/>
  <c r="J32" i="17" s="1"/>
  <c r="J34" i="17" s="1"/>
  <c r="J51" i="17"/>
  <c r="P48" i="27" l="1"/>
  <c r="J24" i="21"/>
  <c r="J32" i="21" s="1"/>
  <c r="J34" i="21" s="1"/>
  <c r="J40" i="21" s="1"/>
  <c r="J42" i="21" s="1"/>
  <c r="J46" i="21" s="1"/>
  <c r="J48" i="21" s="1"/>
  <c r="K10" i="21"/>
  <c r="J51" i="21"/>
  <c r="H52" i="21"/>
  <c r="I52" i="21" s="1"/>
  <c r="J40" i="17"/>
  <c r="J42" i="17" s="1"/>
  <c r="J46" i="17" s="1"/>
  <c r="L10" i="17"/>
  <c r="K24" i="17"/>
  <c r="K32" i="17" s="1"/>
  <c r="K34" i="17" s="1"/>
  <c r="K40" i="17" s="1"/>
  <c r="K42" i="17" s="1"/>
  <c r="K46" i="17" s="1"/>
  <c r="K48" i="17" s="1"/>
  <c r="K51" i="17"/>
  <c r="G8" i="5"/>
  <c r="R8" i="5" s="1"/>
  <c r="K24" i="21" l="1"/>
  <c r="K32" i="21" s="1"/>
  <c r="K34" i="21" s="1"/>
  <c r="K40" i="21" s="1"/>
  <c r="K42" i="21" s="1"/>
  <c r="K46" i="21" s="1"/>
  <c r="K48" i="21" s="1"/>
  <c r="L10" i="21"/>
  <c r="K51" i="21"/>
  <c r="J52" i="21"/>
  <c r="L24" i="17"/>
  <c r="L32" i="17" s="1"/>
  <c r="L34" i="17" s="1"/>
  <c r="L40" i="17" s="1"/>
  <c r="L42" i="17" s="1"/>
  <c r="L46" i="17" s="1"/>
  <c r="L48" i="17" s="1"/>
  <c r="M10" i="17"/>
  <c r="L51" i="17"/>
  <c r="J48" i="17"/>
  <c r="J52" i="17"/>
  <c r="K52" i="17" s="1"/>
  <c r="G44" i="5"/>
  <c r="G43" i="5"/>
  <c r="E44" i="5"/>
  <c r="E43" i="5"/>
  <c r="H37" i="5"/>
  <c r="I37" i="5" s="1"/>
  <c r="J37" i="5" s="1"/>
  <c r="K37" i="5" s="1"/>
  <c r="L37" i="5" s="1"/>
  <c r="M37" i="5" s="1"/>
  <c r="N37" i="5" s="1"/>
  <c r="O37" i="5" s="1"/>
  <c r="P37" i="5" s="1"/>
  <c r="J39" i="1" s="1"/>
  <c r="G27" i="5"/>
  <c r="H27" i="5" s="1"/>
  <c r="I27" i="5" s="1"/>
  <c r="J27" i="5" s="1"/>
  <c r="K27" i="5" s="1"/>
  <c r="L27" i="5" s="1"/>
  <c r="M27" i="5" s="1"/>
  <c r="N27" i="5" s="1"/>
  <c r="O27" i="5" s="1"/>
  <c r="P27" i="5" s="1"/>
  <c r="G28" i="5"/>
  <c r="H28" i="5" s="1"/>
  <c r="I28" i="5" s="1"/>
  <c r="J28" i="5" s="1"/>
  <c r="K28" i="5" s="1"/>
  <c r="L28" i="5" s="1"/>
  <c r="M28" i="5" s="1"/>
  <c r="N28" i="5" s="1"/>
  <c r="O28" i="5" s="1"/>
  <c r="P28" i="5" s="1"/>
  <c r="G29" i="5"/>
  <c r="H29" i="5" s="1"/>
  <c r="I29" i="5" s="1"/>
  <c r="J29" i="5" s="1"/>
  <c r="K29" i="5" s="1"/>
  <c r="L29" i="5" s="1"/>
  <c r="M29" i="5" s="1"/>
  <c r="N29" i="5" s="1"/>
  <c r="O29" i="5" s="1"/>
  <c r="P29" i="5" s="1"/>
  <c r="G30" i="5"/>
  <c r="H30" i="5" s="1"/>
  <c r="I30" i="5" s="1"/>
  <c r="J30" i="5" s="1"/>
  <c r="K30" i="5" s="1"/>
  <c r="L30" i="5" s="1"/>
  <c r="M30" i="5" s="1"/>
  <c r="N30" i="5" s="1"/>
  <c r="O30" i="5" s="1"/>
  <c r="P30" i="5" s="1"/>
  <c r="G26" i="5"/>
  <c r="H26" i="5" s="1"/>
  <c r="I26" i="5" s="1"/>
  <c r="J26" i="5" s="1"/>
  <c r="K26" i="5" s="1"/>
  <c r="L26" i="5" s="1"/>
  <c r="M26" i="5" s="1"/>
  <c r="N26" i="5" s="1"/>
  <c r="O26" i="5" s="1"/>
  <c r="P26" i="5" s="1"/>
  <c r="G21" i="5"/>
  <c r="H21" i="5" s="1"/>
  <c r="I21" i="5" s="1"/>
  <c r="J21" i="5" s="1"/>
  <c r="K21" i="5" s="1"/>
  <c r="L21" i="5" s="1"/>
  <c r="M21" i="5" s="1"/>
  <c r="N21" i="5" s="1"/>
  <c r="O21" i="5" s="1"/>
  <c r="P21" i="5" s="1"/>
  <c r="G22" i="5"/>
  <c r="H22" i="5" s="1"/>
  <c r="I22" i="5" s="1"/>
  <c r="J22" i="5" s="1"/>
  <c r="K22" i="5" s="1"/>
  <c r="L22" i="5" s="1"/>
  <c r="M22" i="5" s="1"/>
  <c r="N22" i="5" s="1"/>
  <c r="O22" i="5" s="1"/>
  <c r="P22" i="5" s="1"/>
  <c r="G23" i="5"/>
  <c r="H23" i="5" s="1"/>
  <c r="I23" i="5" s="1"/>
  <c r="J23" i="5" s="1"/>
  <c r="K23" i="5" s="1"/>
  <c r="L23" i="5" s="1"/>
  <c r="M23" i="5" s="1"/>
  <c r="N23" i="5" s="1"/>
  <c r="O23" i="5" s="1"/>
  <c r="P23" i="5" s="1"/>
  <c r="G20" i="5"/>
  <c r="H20" i="5" s="1"/>
  <c r="I20" i="5" s="1"/>
  <c r="J20" i="5" s="1"/>
  <c r="K20" i="5" s="1"/>
  <c r="L20" i="5" s="1"/>
  <c r="M20" i="5" s="1"/>
  <c r="N20" i="5" s="1"/>
  <c r="O20" i="5" s="1"/>
  <c r="P20" i="5" s="1"/>
  <c r="D14" i="5"/>
  <c r="D15" i="5"/>
  <c r="D5" i="4"/>
  <c r="E5" i="4" s="1"/>
  <c r="F5" i="4" s="1"/>
  <c r="G5" i="4" s="1"/>
  <c r="H5" i="4" s="1"/>
  <c r="I5" i="4" s="1"/>
  <c r="J5" i="4" s="1"/>
  <c r="K5" i="4" s="1"/>
  <c r="L5" i="4" s="1"/>
  <c r="M5" i="4" s="1"/>
  <c r="N5" i="4" s="1"/>
  <c r="O5" i="4" s="1"/>
  <c r="P5" i="4" s="1"/>
  <c r="Q5" i="4" s="1"/>
  <c r="R5" i="4" s="1"/>
  <c r="S5" i="4" s="1"/>
  <c r="T5" i="4" s="1"/>
  <c r="U5" i="4" s="1"/>
  <c r="V5" i="4" s="1"/>
  <c r="W5" i="4" s="1"/>
  <c r="X5" i="4" s="1"/>
  <c r="Y5" i="4" s="1"/>
  <c r="Z5" i="4" s="1"/>
  <c r="AA5" i="4" s="1"/>
  <c r="AB5" i="4" s="1"/>
  <c r="AC5" i="4" s="1"/>
  <c r="AD5" i="4" s="1"/>
  <c r="AE5" i="4" s="1"/>
  <c r="AF5" i="4" s="1"/>
  <c r="AG5" i="4" s="1"/>
  <c r="AH5" i="4" s="1"/>
  <c r="AI5" i="4" s="1"/>
  <c r="AJ5" i="4" s="1"/>
  <c r="AK5" i="4" s="1"/>
  <c r="AL5" i="4" s="1"/>
  <c r="AM5" i="4" s="1"/>
  <c r="AN5" i="4" s="1"/>
  <c r="AO5" i="4" s="1"/>
  <c r="K52" i="21" l="1"/>
  <c r="M10" i="21"/>
  <c r="L24" i="21"/>
  <c r="L32" i="21" s="1"/>
  <c r="L34" i="21" s="1"/>
  <c r="L51" i="21"/>
  <c r="L52" i="17"/>
  <c r="N10" i="17"/>
  <c r="M24" i="17"/>
  <c r="M32" i="17" s="1"/>
  <c r="M34" i="17" s="1"/>
  <c r="M40" i="17" s="1"/>
  <c r="M42" i="17" s="1"/>
  <c r="M46" i="17" s="1"/>
  <c r="M48" i="17" s="1"/>
  <c r="M51" i="17"/>
  <c r="G14" i="5"/>
  <c r="H14" i="5" s="1"/>
  <c r="I14" i="5" s="1"/>
  <c r="J14" i="5" s="1"/>
  <c r="K14" i="5" s="1"/>
  <c r="L14" i="5" s="1"/>
  <c r="M14" i="5" s="1"/>
  <c r="N14" i="5" s="1"/>
  <c r="O14" i="5" s="1"/>
  <c r="P14" i="5" s="1"/>
  <c r="J16" i="1" s="1"/>
  <c r="D16" i="6"/>
  <c r="AG8" i="4"/>
  <c r="AH8" i="4" s="1"/>
  <c r="AI8" i="4" s="1"/>
  <c r="AJ8" i="4" s="1"/>
  <c r="AK8" i="4" s="1"/>
  <c r="AL8" i="4" s="1"/>
  <c r="AM8" i="4" s="1"/>
  <c r="H16" i="1"/>
  <c r="G27" i="1" s="1"/>
  <c r="L40" i="21" l="1"/>
  <c r="L42" i="21" s="1"/>
  <c r="L46" i="21" s="1"/>
  <c r="L48" i="21" s="1"/>
  <c r="M24" i="21"/>
  <c r="M32" i="21" s="1"/>
  <c r="M34" i="21" s="1"/>
  <c r="M40" i="21" s="1"/>
  <c r="M42" i="21" s="1"/>
  <c r="M46" i="21" s="1"/>
  <c r="M48" i="21" s="1"/>
  <c r="N10" i="21"/>
  <c r="M51" i="21"/>
  <c r="O10" i="17"/>
  <c r="N24" i="17"/>
  <c r="N32" i="17" s="1"/>
  <c r="N34" i="17" s="1"/>
  <c r="N40" i="17" s="1"/>
  <c r="N42" i="17" s="1"/>
  <c r="N46" i="17" s="1"/>
  <c r="N48" i="17" s="1"/>
  <c r="N51" i="17"/>
  <c r="M52" i="17"/>
  <c r="G16" i="5"/>
  <c r="G25" i="5"/>
  <c r="H25" i="5" s="1"/>
  <c r="I25" i="5" s="1"/>
  <c r="J25" i="5" s="1"/>
  <c r="K25" i="5" s="1"/>
  <c r="L25" i="5" s="1"/>
  <c r="M25" i="5" s="1"/>
  <c r="N25" i="5" s="1"/>
  <c r="O25" i="5" s="1"/>
  <c r="P25" i="5" s="1"/>
  <c r="G16" i="6"/>
  <c r="F16" i="6"/>
  <c r="L52" i="21" l="1"/>
  <c r="M52" i="21" s="1"/>
  <c r="O10" i="21"/>
  <c r="N24" i="21"/>
  <c r="N32" i="21" s="1"/>
  <c r="N34" i="21" s="1"/>
  <c r="N40" i="21" s="1"/>
  <c r="N42" i="21" s="1"/>
  <c r="N46" i="21" s="1"/>
  <c r="N48" i="21" s="1"/>
  <c r="N51" i="21"/>
  <c r="N52" i="17"/>
  <c r="O24" i="17"/>
  <c r="O32" i="17" s="1"/>
  <c r="O34" i="17" s="1"/>
  <c r="O40" i="17" s="1"/>
  <c r="O42" i="17" s="1"/>
  <c r="O46" i="17" s="1"/>
  <c r="O48" i="17" s="1"/>
  <c r="P10" i="17"/>
  <c r="O51" i="17"/>
  <c r="N52" i="21" l="1"/>
  <c r="O24" i="21"/>
  <c r="O32" i="21" s="1"/>
  <c r="O34" i="21" s="1"/>
  <c r="O40" i="21" s="1"/>
  <c r="O42" i="21" s="1"/>
  <c r="O46" i="21" s="1"/>
  <c r="O48" i="21" s="1"/>
  <c r="P10" i="21"/>
  <c r="O51" i="21"/>
  <c r="P24" i="17"/>
  <c r="P51" i="17"/>
  <c r="O52" i="17"/>
  <c r="H54" i="1"/>
  <c r="G18" i="1"/>
  <c r="B9" i="6" s="1"/>
  <c r="E12" i="1"/>
  <c r="J71" i="1" l="1"/>
  <c r="J72" i="1"/>
  <c r="J70" i="1"/>
  <c r="P24" i="21"/>
  <c r="P51" i="21"/>
  <c r="R51" i="17"/>
  <c r="D20" i="6" s="1"/>
  <c r="D22" i="6"/>
  <c r="O52" i="21"/>
  <c r="J26" i="16"/>
  <c r="P32" i="17"/>
  <c r="G26" i="1"/>
  <c r="H34" i="1" s="1"/>
  <c r="G10" i="5"/>
  <c r="G24" i="5" s="1"/>
  <c r="N71" i="1" l="1"/>
  <c r="N70" i="1"/>
  <c r="N72" i="1"/>
  <c r="E66" i="1"/>
  <c r="R51" i="21"/>
  <c r="G20" i="6" s="1"/>
  <c r="G22" i="6"/>
  <c r="J26" i="20"/>
  <c r="P32" i="21"/>
  <c r="J34" i="16"/>
  <c r="J36" i="16" s="1"/>
  <c r="J42" i="16" s="1"/>
  <c r="J44" i="16" s="1"/>
  <c r="J48" i="16" s="1"/>
  <c r="J50" i="16" s="1"/>
  <c r="P34" i="17"/>
  <c r="G32" i="5"/>
  <c r="G34" i="5" s="1"/>
  <c r="G40" i="5" s="1"/>
  <c r="H10" i="5"/>
  <c r="H24" i="5" s="1"/>
  <c r="G51" i="5"/>
  <c r="H36" i="1"/>
  <c r="E70" i="1" l="1"/>
  <c r="E71" i="1"/>
  <c r="E72" i="1"/>
  <c r="J34" i="20"/>
  <c r="J36" i="20" s="1"/>
  <c r="J42" i="20" s="1"/>
  <c r="J44" i="20" s="1"/>
  <c r="J48" i="20" s="1"/>
  <c r="J50" i="20" s="1"/>
  <c r="P34" i="21"/>
  <c r="P40" i="21" s="1"/>
  <c r="P42" i="21" s="1"/>
  <c r="P40" i="17"/>
  <c r="P42" i="17" s="1"/>
  <c r="R42" i="17" s="1"/>
  <c r="G42" i="5"/>
  <c r="G46" i="5" s="1"/>
  <c r="H42" i="1"/>
  <c r="H44" i="1" s="1"/>
  <c r="B11" i="6"/>
  <c r="I10" i="5"/>
  <c r="I24" i="5" s="1"/>
  <c r="H32" i="5"/>
  <c r="H34" i="5" s="1"/>
  <c r="H40" i="5" s="1"/>
  <c r="H51" i="5"/>
  <c r="E79" i="1" l="1"/>
  <c r="E78" i="1"/>
  <c r="E77" i="1"/>
  <c r="P46" i="21"/>
  <c r="R42" i="21"/>
  <c r="J11" i="6"/>
  <c r="L11" i="6"/>
  <c r="P46" i="17"/>
  <c r="G52" i="5"/>
  <c r="G48" i="5"/>
  <c r="H42" i="5"/>
  <c r="H46" i="5" s="1"/>
  <c r="H48" i="1"/>
  <c r="G56" i="1" s="1"/>
  <c r="B13" i="6"/>
  <c r="J10" i="5"/>
  <c r="J24" i="5" s="1"/>
  <c r="I32" i="5"/>
  <c r="I34" i="5" s="1"/>
  <c r="I40" i="5" s="1"/>
  <c r="I42" i="5" s="1"/>
  <c r="I51" i="5"/>
  <c r="P48" i="21" l="1"/>
  <c r="P52" i="21"/>
  <c r="G18" i="6" s="1"/>
  <c r="P48" i="17"/>
  <c r="P52" i="17"/>
  <c r="D18" i="6" s="1"/>
  <c r="H48" i="5"/>
  <c r="H52" i="5"/>
  <c r="H50" i="1"/>
  <c r="I46" i="5"/>
  <c r="G52" i="1"/>
  <c r="B15" i="6"/>
  <c r="L15" i="6" s="1"/>
  <c r="K10" i="5"/>
  <c r="K24" i="5" s="1"/>
  <c r="J32" i="5"/>
  <c r="J34" i="5" s="1"/>
  <c r="J40" i="5" s="1"/>
  <c r="J42" i="5" s="1"/>
  <c r="J51" i="5"/>
  <c r="B16" i="6" l="1"/>
  <c r="J15" i="6"/>
  <c r="I48" i="5"/>
  <c r="I52" i="5"/>
  <c r="J46" i="5"/>
  <c r="J48" i="5" s="1"/>
  <c r="L10" i="5"/>
  <c r="L24" i="5" s="1"/>
  <c r="K51" i="5"/>
  <c r="K32" i="5"/>
  <c r="K34" i="5" s="1"/>
  <c r="K40" i="5" s="1"/>
  <c r="K42" i="5" s="1"/>
  <c r="J16" i="6" l="1"/>
  <c r="L16" i="6"/>
  <c r="J52" i="5"/>
  <c r="K46" i="5"/>
  <c r="M10" i="5"/>
  <c r="M24" i="5" s="1"/>
  <c r="L51" i="5"/>
  <c r="L32" i="5"/>
  <c r="L34" i="5" s="1"/>
  <c r="L40" i="5" s="1"/>
  <c r="L42" i="5" s="1"/>
  <c r="K48" i="5" l="1"/>
  <c r="K52" i="5"/>
  <c r="L46" i="5"/>
  <c r="N10" i="5"/>
  <c r="N24" i="5" s="1"/>
  <c r="M32" i="5"/>
  <c r="M34" i="5" s="1"/>
  <c r="M40" i="5" s="1"/>
  <c r="M42" i="5" s="1"/>
  <c r="M51" i="5"/>
  <c r="L48" i="5" l="1"/>
  <c r="L52" i="5"/>
  <c r="O10" i="5"/>
  <c r="O24" i="5" s="1"/>
  <c r="N32" i="5"/>
  <c r="N34" i="5" s="1"/>
  <c r="N40" i="5" s="1"/>
  <c r="N42" i="5" s="1"/>
  <c r="N51" i="5"/>
  <c r="N46" i="5" l="1"/>
  <c r="N48" i="5" s="1"/>
  <c r="M46" i="5"/>
  <c r="P10" i="5"/>
  <c r="P24" i="5" s="1"/>
  <c r="J26" i="1" s="1"/>
  <c r="O32" i="5"/>
  <c r="O34" i="5" s="1"/>
  <c r="O40" i="5" s="1"/>
  <c r="O42" i="5" s="1"/>
  <c r="O51" i="5"/>
  <c r="M48" i="5" l="1"/>
  <c r="M52" i="5"/>
  <c r="N52" i="5" s="1"/>
  <c r="P32" i="5"/>
  <c r="P51" i="5"/>
  <c r="R51" i="5" l="1"/>
  <c r="B20" i="6" s="1"/>
  <c r="L20" i="6" s="1"/>
  <c r="B22" i="6"/>
  <c r="L22" i="6" s="1"/>
  <c r="P34" i="5"/>
  <c r="P40" i="5" s="1"/>
  <c r="P42" i="5" s="1"/>
  <c r="P46" i="5" s="1"/>
  <c r="P48" i="5" s="1"/>
  <c r="J34" i="1"/>
  <c r="J36" i="1" s="1"/>
  <c r="O46" i="5"/>
  <c r="J42" i="1" l="1"/>
  <c r="J44" i="1" s="1"/>
  <c r="J48" i="1" s="1"/>
  <c r="J50" i="1" s="1"/>
  <c r="J20" i="6"/>
  <c r="J22" i="6"/>
  <c r="R42" i="5"/>
  <c r="O48" i="5"/>
  <c r="O52" i="5"/>
  <c r="P52" i="5" s="1"/>
  <c r="B18" i="6" s="1"/>
  <c r="L18" i="6" s="1"/>
  <c r="J18"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0" authorId="0" shapeId="0" xr:uid="{00000000-0006-0000-0200-000001000000}">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6" authorId="0" shapeId="0" xr:uid="{00000000-0006-0000-0200-000002000000}">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8" authorId="0" shapeId="0" xr:uid="{00000000-0006-0000-0200-000003000000}">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29" authorId="0" shapeId="0" xr:uid="{00000000-0006-0000-0200-000004000000}">
      <text>
        <r>
          <rPr>
            <b/>
            <sz val="8"/>
            <color indexed="81"/>
            <rFont val="Tahoma"/>
            <family val="2"/>
          </rPr>
          <t>Coombe Smith:</t>
        </r>
        <r>
          <rPr>
            <sz val="8"/>
            <color indexed="81"/>
            <rFont val="Tahoma"/>
            <family val="2"/>
          </rPr>
          <t xml:space="preserve">
For older properties you need to allow more.</t>
        </r>
      </text>
    </comment>
    <comment ref="H38" authorId="0" shapeId="0" xr:uid="{00000000-0006-0000-0200-000005000000}">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4" authorId="0" shapeId="0" xr:uid="{00000000-0006-0000-0200-000006000000}">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 ref="N44" authorId="0" shapeId="0" xr:uid="{3D2DC228-48ED-4E0F-8473-B84CC6DA16F6}">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Coombe Smith</author>
    <author>tc={FD33A40F-1E2E-4193-B1CB-99921848F57D}</author>
  </authors>
  <commentList>
    <comment ref="G16" authorId="0" shapeId="0" xr:uid="{BB2D03D0-40D7-41DC-AE7D-9C3DBE035072}">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FD33A40F-1E2E-4193-B1CB-99921848F57D}">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Coombe Smith</author>
    <author>tc={E93764C1-86C2-4DA2-BBFB-CBB21662E68D}</author>
  </authors>
  <commentList>
    <comment ref="G16" authorId="0" shapeId="0" xr:uid="{4182EAD4-F125-425E-ADEC-5578CEECA1FD}">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E93764C1-86C2-4DA2-BBFB-CBB21662E68D}">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Coombe Smith</author>
    <author>tc={D9142C43-6B75-4D15-B861-65651A276E86}</author>
  </authors>
  <commentList>
    <comment ref="G16" authorId="0" shapeId="0" xr:uid="{BD50FC22-1105-4E63-B1EF-0FBC119BC559}">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D9142C43-6B75-4D15-B861-65651A276E86}">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Coombe Smith</author>
    <author>tc={2BD82D60-102B-43F1-B36B-26309D41B15A}</author>
  </authors>
  <commentList>
    <comment ref="G16" authorId="0" shapeId="0" xr:uid="{5461ED43-412F-44C4-9921-A6619A4C0D64}">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2BD82D60-102B-43F1-B36B-26309D41B15A}">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Coombe Smith</author>
    <author>tc={4D7EB518-BBE3-4C13-9F44-8BBB4C0F7447}</author>
  </authors>
  <commentList>
    <comment ref="G16" authorId="0" shapeId="0" xr:uid="{A20E9C38-C02E-47F3-BDA4-FA6A8FF3B471}">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4D7EB518-BBE3-4C13-9F44-8BBB4C0F7447}">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Coombe Smith</author>
    <author>tc={DE427237-0AF7-4F53-942E-3C23A48DAD69}</author>
  </authors>
  <commentList>
    <comment ref="G16" authorId="0" shapeId="0" xr:uid="{C3D36AC0-E74C-41B2-94F9-8FE3C81C16B6}">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DE427237-0AF7-4F53-942E-3C23A48DAD69}">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Coombe Smith</author>
    <author>tc={B295EAE7-1478-4285-ACD7-9BA9CB45E3AC}</author>
  </authors>
  <commentList>
    <comment ref="G16" authorId="0" shapeId="0" xr:uid="{3F32A2E3-3A73-4648-A9F6-8A5CCC9DC0D0}">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B295EAE7-1478-4285-ACD7-9BA9CB45E3AC}">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0" authorId="0" shapeId="0" xr:uid="{AD203EE0-C5FA-4782-A9A1-81BEEED39D0F}">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6" authorId="0" shapeId="0" xr:uid="{70824E35-F91B-4C7A-A654-FB34732A9469}">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8" authorId="0" shapeId="0" xr:uid="{F2161840-F50B-4AB1-A915-FAAE1314A225}">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29" authorId="0" shapeId="0" xr:uid="{0AD625DE-CAB3-4A72-9100-BBBFC26D08ED}">
      <text>
        <r>
          <rPr>
            <b/>
            <sz val="8"/>
            <color indexed="81"/>
            <rFont val="Tahoma"/>
            <family val="2"/>
          </rPr>
          <t>Coombe Smith:</t>
        </r>
        <r>
          <rPr>
            <sz val="8"/>
            <color indexed="81"/>
            <rFont val="Tahoma"/>
            <family val="2"/>
          </rPr>
          <t xml:space="preserve">
For older properties you need to allow more.</t>
        </r>
      </text>
    </comment>
    <comment ref="H38" authorId="0" shapeId="0" xr:uid="{A7261A65-4C58-4009-895F-CCE6B27365AE}">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4" authorId="0" shapeId="0" xr:uid="{BA555D76-29FC-43D3-A88F-54EAED7E4E07}">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 ref="O44" authorId="0" shapeId="0" xr:uid="{3B64D4D6-4E39-4BA3-A705-BC70B6BF357E}">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0" authorId="0" shapeId="0" xr:uid="{7C125457-3DEB-40FD-9BDF-F7A521D31715}">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6" authorId="0" shapeId="0" xr:uid="{BD218DF2-7290-49AD-AA83-F2E94EBCE343}">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8" authorId="0" shapeId="0" xr:uid="{8045D466-9A7E-4F28-82EB-E335D0066E3D}">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29" authorId="0" shapeId="0" xr:uid="{606D1036-12C5-4576-89C5-4091EEFF446B}">
      <text>
        <r>
          <rPr>
            <b/>
            <sz val="8"/>
            <color indexed="81"/>
            <rFont val="Tahoma"/>
            <family val="2"/>
          </rPr>
          <t>Coombe Smith:</t>
        </r>
        <r>
          <rPr>
            <sz val="8"/>
            <color indexed="81"/>
            <rFont val="Tahoma"/>
            <family val="2"/>
          </rPr>
          <t xml:space="preserve">
For older properties you need to allow more.</t>
        </r>
      </text>
    </comment>
    <comment ref="H38" authorId="0" shapeId="0" xr:uid="{75A718F7-FF67-4B65-BA7E-5B54826D2246}">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4" authorId="0" shapeId="0" xr:uid="{1796A86A-377A-46B6-9595-BC6EA9948953}">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0" authorId="0" shapeId="0" xr:uid="{698CE542-D569-41CC-8433-2D3E35097BA0}">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6" authorId="0" shapeId="0" xr:uid="{AD88D8B5-9CDE-482A-80D3-AD84ADFF31C8}">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8" authorId="0" shapeId="0" xr:uid="{7EDE26A6-CA8A-4241-82BF-5EF79BCCEAD1}">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29" authorId="0" shapeId="0" xr:uid="{D6CE731B-0A2E-4D91-9994-93F21FB80772}">
      <text>
        <r>
          <rPr>
            <b/>
            <sz val="8"/>
            <color indexed="81"/>
            <rFont val="Tahoma"/>
            <family val="2"/>
          </rPr>
          <t>Coombe Smith:</t>
        </r>
        <r>
          <rPr>
            <sz val="8"/>
            <color indexed="81"/>
            <rFont val="Tahoma"/>
            <family val="2"/>
          </rPr>
          <t xml:space="preserve">
For older properties you need to allow more.</t>
        </r>
      </text>
    </comment>
    <comment ref="H38" authorId="0" shapeId="0" xr:uid="{61F7D042-54FB-4CB7-BB7E-9B6AC233C009}">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4" authorId="0" shapeId="0" xr:uid="{854EF579-08EF-4C30-8BE0-5B9174D304E2}">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0" authorId="0" shapeId="0" xr:uid="{A6684198-6930-494A-84EB-FA786E5A3680}">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6" authorId="0" shapeId="0" xr:uid="{150033DE-CF62-4F0D-A8B1-66BA193FE87D}">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8" authorId="0" shapeId="0" xr:uid="{327A8768-B80D-481B-BB0F-7DAD70EAE49C}">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29" authorId="0" shapeId="0" xr:uid="{7F30BAC0-8DF2-481B-A5FE-2FAF94EF6C29}">
      <text>
        <r>
          <rPr>
            <b/>
            <sz val="8"/>
            <color indexed="81"/>
            <rFont val="Tahoma"/>
            <family val="2"/>
          </rPr>
          <t>Coombe Smith:</t>
        </r>
        <r>
          <rPr>
            <sz val="8"/>
            <color indexed="81"/>
            <rFont val="Tahoma"/>
            <family val="2"/>
          </rPr>
          <t xml:space="preserve">
For older properties you need to allow more.</t>
        </r>
      </text>
    </comment>
    <comment ref="H38" authorId="0" shapeId="0" xr:uid="{ABCFC59B-34E5-4455-9808-4FC56FEFD6B5}">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4" authorId="0" shapeId="0" xr:uid="{3FFC1F77-BB8A-43BE-A711-2B7E78CDC65C}">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1" authorId="0" shapeId="0" xr:uid="{7AD3BAC4-6F71-4505-BF95-73A9EB386533}">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7" authorId="0" shapeId="0" xr:uid="{E05D642C-75EC-4CBA-B474-C9E328CEEECF}">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9" authorId="0" shapeId="0" xr:uid="{09C9DE8A-AD3E-4AA3-B7BE-9C754A6C04E7}">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30" authorId="0" shapeId="0" xr:uid="{29C3ACBA-59FE-47D6-A39C-885E02558DF9}">
      <text>
        <r>
          <rPr>
            <b/>
            <sz val="8"/>
            <color indexed="81"/>
            <rFont val="Tahoma"/>
            <family val="2"/>
          </rPr>
          <t>Coombe Smith:</t>
        </r>
        <r>
          <rPr>
            <sz val="8"/>
            <color indexed="81"/>
            <rFont val="Tahoma"/>
            <family val="2"/>
          </rPr>
          <t xml:space="preserve">
For older properties you need to allow more.</t>
        </r>
      </text>
    </comment>
    <comment ref="H39" authorId="0" shapeId="0" xr:uid="{695F9AC6-19EA-44C0-928A-C279FEB6A052}">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5" authorId="0" shapeId="0" xr:uid="{DB72BD70-11F0-4A7A-AE28-02DDEC489EA2}">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Coombe Smith</author>
  </authors>
  <commentList>
    <comment ref="E11" authorId="0" shapeId="0" xr:uid="{82773EED-67A8-42E4-B8A1-3F70303FF4CB}">
      <text>
        <r>
          <rPr>
            <b/>
            <sz val="8"/>
            <color indexed="81"/>
            <rFont val="Tahoma"/>
            <family val="2"/>
          </rPr>
          <t>Coombe Smith:</t>
        </r>
        <r>
          <rPr>
            <sz val="8"/>
            <color indexed="81"/>
            <rFont val="Tahoma"/>
            <family val="2"/>
          </rPr>
          <t xml:space="preserve">
Always work on 100% finance, because if you put in money you stilll need and want a return on that.</t>
        </r>
      </text>
    </comment>
    <comment ref="H17" authorId="0" shapeId="0" xr:uid="{9434ACA9-7314-4726-9AE0-F3E151A4A02F}">
      <text>
        <r>
          <rPr>
            <b/>
            <sz val="8"/>
            <color indexed="81"/>
            <rFont val="Tahoma"/>
            <family val="2"/>
          </rPr>
          <t>Coombe Smith:</t>
        </r>
        <r>
          <rPr>
            <sz val="8"/>
            <color indexed="81"/>
            <rFont val="Tahoma"/>
            <family val="2"/>
          </rPr>
          <t xml:space="preserve">
I normally work on 50 weeks.  If the property is fully furnished or in a worse area, you need to consider allowing for less weeks.  I once had a 1 bedroom, fully furnished flat where I only received 30 weeks!</t>
        </r>
      </text>
    </comment>
    <comment ref="G19" authorId="0" shapeId="0" xr:uid="{367776BE-0FCE-4B33-A5B4-3D927CFBC62E}">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G30" authorId="0" shapeId="0" xr:uid="{7E186779-BADA-47D6-8E6F-C6964ED1E88B}">
      <text>
        <r>
          <rPr>
            <b/>
            <sz val="8"/>
            <color indexed="81"/>
            <rFont val="Tahoma"/>
            <family val="2"/>
          </rPr>
          <t>Coombe Smith:</t>
        </r>
        <r>
          <rPr>
            <sz val="8"/>
            <color indexed="81"/>
            <rFont val="Tahoma"/>
            <family val="2"/>
          </rPr>
          <t xml:space="preserve">
For older properties you need to allow more.</t>
        </r>
      </text>
    </comment>
    <comment ref="H39" authorId="0" shapeId="0" xr:uid="{7CDF7D04-E18D-4C4A-8AE5-60B8BC14235F}">
      <text>
        <r>
          <rPr>
            <b/>
            <sz val="8"/>
            <color indexed="81"/>
            <rFont val="Tahoma"/>
            <family val="2"/>
          </rPr>
          <t>Coombe Smith:</t>
        </r>
        <r>
          <rPr>
            <sz val="8"/>
            <color indexed="81"/>
            <rFont val="Tahoma"/>
            <family val="2"/>
          </rPr>
          <t xml:space="preserve">
Estimate.
0% for buildings from 1/4/11
Chattels are a lot higher and normally average around 10%.  </t>
        </r>
      </text>
    </comment>
    <comment ref="H45" authorId="0" shapeId="0" xr:uid="{B0C83581-EBF9-483E-BC13-5AA781D45D45}">
      <text>
        <r>
          <rPr>
            <b/>
            <sz val="8"/>
            <color indexed="81"/>
            <rFont val="Tahoma"/>
            <family val="2"/>
          </rPr>
          <t>Coombe Smith:</t>
        </r>
        <r>
          <rPr>
            <sz val="8"/>
            <color indexed="81"/>
            <rFont val="Tahoma"/>
            <family val="2"/>
          </rPr>
          <t xml:space="preserve">
Only if you are earning over $70,000 and can offset the property loss against your personal income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Coombe Smith</author>
    <author>tc={DC808E46-BB0F-400E-9DE2-CDB0A84D591E}</author>
  </authors>
  <commentList>
    <comment ref="G16" authorId="0" shapeId="0" xr:uid="{00000000-0006-0000-0300-000001000000}">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DC808E46-BB0F-400E-9DE2-CDB0A84D591E}">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Coombe Smith</author>
    <author>tc={D610F3B8-0192-4BCD-8612-D317CEE0E555}</author>
  </authors>
  <commentList>
    <comment ref="G16" authorId="0" shapeId="0" xr:uid="{F4ABAE43-B4D3-48C7-8688-ED2908D0B065}">
      <text>
        <r>
          <rPr>
            <b/>
            <sz val="8"/>
            <color indexed="81"/>
            <rFont val="Tahoma"/>
            <family val="2"/>
          </rPr>
          <t>Coombe Smith:</t>
        </r>
        <r>
          <rPr>
            <sz val="8"/>
            <color indexed="81"/>
            <rFont val="Tahoma"/>
            <family val="2"/>
          </rPr>
          <t xml:space="preserve">
Yield or return is a quick way to review a rental property.  But it is just one factor and you still need to consider the whole picture.  </t>
        </r>
      </text>
    </comment>
    <comment ref="L24" authorId="1" shapeId="0" xr:uid="{D610F3B8-0192-4BCD-8612-D317CEE0E555}">
      <text>
        <t>[Threaded comment]
Your version of Excel allows you to read this threaded comment; however, any edits to it will get removed if the file is opened in a newer version of Excel. Learn more: https://go.microsoft.com/fwlink/?linkid=870924
Comment:
    Half of mortgage comes off 5 year</t>
      </text>
    </comment>
  </commentList>
</comments>
</file>

<file path=xl/sharedStrings.xml><?xml version="1.0" encoding="utf-8"?>
<sst xmlns="http://schemas.openxmlformats.org/spreadsheetml/2006/main" count="949" uniqueCount="152">
  <si>
    <t>Income:</t>
  </si>
  <si>
    <t>Less Expenses:</t>
  </si>
  <si>
    <t>Insurance</t>
  </si>
  <si>
    <t>Rates</t>
  </si>
  <si>
    <t>Total Expenses</t>
  </si>
  <si>
    <t>Travel</t>
  </si>
  <si>
    <t>Repairs and Maintenance</t>
  </si>
  <si>
    <t>Accounting</t>
  </si>
  <si>
    <t>Bank fees</t>
  </si>
  <si>
    <t>Total Borrowed</t>
  </si>
  <si>
    <t>NET CASH SURPLUS (DEFICIT)</t>
  </si>
  <si>
    <t>As a % of total house</t>
  </si>
  <si>
    <t>Less Depreciation</t>
  </si>
  <si>
    <t>NET TAXABLE PROFIT (LOSS)</t>
  </si>
  <si>
    <t>Body Corporate</t>
  </si>
  <si>
    <t>Building</t>
  </si>
  <si>
    <t>chattels</t>
  </si>
  <si>
    <t>Weekly cash</t>
  </si>
  <si>
    <t>after tax</t>
  </si>
  <si>
    <t>Cash Return on Investment</t>
  </si>
  <si>
    <t>Cash &amp; Possible Capital Gain Return on Investment</t>
  </si>
  <si>
    <t>House Value</t>
  </si>
  <si>
    <t>Seminars</t>
  </si>
  <si>
    <t>Subscriptions</t>
  </si>
  <si>
    <t xml:space="preserve">Expected Rental Return - </t>
  </si>
  <si>
    <t>Weeks</t>
  </si>
  <si>
    <t>Per week</t>
  </si>
  <si>
    <t xml:space="preserve">Rent - </t>
  </si>
  <si>
    <t xml:space="preserve">Interest </t>
  </si>
  <si>
    <t>Rate</t>
  </si>
  <si>
    <t xml:space="preserve">Tax refund </t>
  </si>
  <si>
    <t>Tax rate</t>
  </si>
  <si>
    <t>Person 1 -</t>
  </si>
  <si>
    <t>Own</t>
  </si>
  <si>
    <t>Person 2 -</t>
  </si>
  <si>
    <t>Capital gain at inflation rate -</t>
  </si>
  <si>
    <r>
      <rPr>
        <b/>
        <sz val="14"/>
        <rFont val="Tahoma"/>
        <family val="2"/>
      </rPr>
      <t>Overall Cash surplus</t>
    </r>
    <r>
      <rPr>
        <b/>
        <sz val="12"/>
        <rFont val="Tahoma"/>
        <family val="2"/>
      </rPr>
      <t xml:space="preserve"> </t>
    </r>
    <r>
      <rPr>
        <sz val="12"/>
        <rFont val="Tahoma"/>
        <family val="2"/>
      </rPr>
      <t>=Taxation refund less cash deficit</t>
    </r>
  </si>
  <si>
    <t>Capital Growth %</t>
  </si>
  <si>
    <t>Rent Increase %</t>
  </si>
  <si>
    <t>Inflation (cost increase %)</t>
  </si>
  <si>
    <t>Interest rate</t>
  </si>
  <si>
    <t>First half</t>
  </si>
  <si>
    <t>Second half</t>
  </si>
  <si>
    <t>Growth %</t>
  </si>
  <si>
    <t>Property</t>
  </si>
  <si>
    <t>Year</t>
  </si>
  <si>
    <t>6.3% Growth</t>
  </si>
  <si>
    <t>Hamilton</t>
  </si>
  <si>
    <t>As at January</t>
  </si>
  <si>
    <t>% Growth</t>
  </si>
  <si>
    <t>Total Equity Gain</t>
  </si>
  <si>
    <t>Total Cash Loss</t>
  </si>
  <si>
    <t>IMPORTANT</t>
  </si>
  <si>
    <t>Important Questions</t>
  </si>
  <si>
    <t>1) Can you afford the Cash loss?</t>
  </si>
  <si>
    <t>2) What happens if property doesn't go up in Value?</t>
  </si>
  <si>
    <t>3) What happens if interest rates go up?</t>
  </si>
  <si>
    <t>4) What happens if you lose your job (income protection insurance?)</t>
  </si>
  <si>
    <t>5) What happens if values go down?</t>
  </si>
  <si>
    <t>Less Deposit or Loan Repayments</t>
  </si>
  <si>
    <t>6) What happens if tax refunds are taken away by Labour?</t>
  </si>
  <si>
    <t>Actual NZ</t>
  </si>
  <si>
    <t>Cash Profit (Loss)</t>
  </si>
  <si>
    <t>P1</t>
  </si>
  <si>
    <t>P2</t>
  </si>
  <si>
    <t>P3</t>
  </si>
  <si>
    <t>10 year cash cost</t>
  </si>
  <si>
    <t>10 year expected capital gain</t>
  </si>
  <si>
    <t>10 year total equity</t>
  </si>
  <si>
    <t>Overall Cash Surplus (loss)</t>
  </si>
  <si>
    <t>Gross Yield</t>
  </si>
  <si>
    <t>Purchase</t>
  </si>
  <si>
    <t>Cash in</t>
  </si>
  <si>
    <t>Capital Gain is estimate based on history - no guarantee this will happen in the future!</t>
  </si>
  <si>
    <t>Say</t>
  </si>
  <si>
    <t>house</t>
  </si>
  <si>
    <t>subdivision</t>
  </si>
  <si>
    <t>new house</t>
  </si>
  <si>
    <t>Gain in value?</t>
  </si>
  <si>
    <t>Now worth</t>
  </si>
  <si>
    <t>plus new</t>
  </si>
  <si>
    <t>GAIN</t>
  </si>
  <si>
    <t>Being conservative - High likelihood that interest</t>
  </si>
  <si>
    <t>rates will be lower than this prediction</t>
  </si>
  <si>
    <t xml:space="preserve">Trying to not paint too good a picture, </t>
  </si>
  <si>
    <t>refund</t>
  </si>
  <si>
    <t xml:space="preserve">With Ring Fencing from </t>
  </si>
  <si>
    <t>1/4/19 likely to be $0 tax</t>
  </si>
  <si>
    <t>Ring Fencing already in place from 1/4/19</t>
  </si>
  <si>
    <t>TOTAL</t>
  </si>
  <si>
    <t>Tax refund (Tax due)</t>
  </si>
  <si>
    <t>Being conservative</t>
  </si>
  <si>
    <t>Plus Costs to buy</t>
  </si>
  <si>
    <t>Less Contribution</t>
  </si>
  <si>
    <t>Less Deposit/Equity</t>
  </si>
  <si>
    <t>Property Management at 7.5% + $300 + GST</t>
  </si>
  <si>
    <t>10 year estimate</t>
  </si>
  <si>
    <t>Also no allowance for Corona Virus</t>
  </si>
  <si>
    <t>1,2 AND 3</t>
  </si>
  <si>
    <t>P5a</t>
  </si>
  <si>
    <t>As is</t>
  </si>
  <si>
    <t>Duplex</t>
  </si>
  <si>
    <t>Combined</t>
  </si>
  <si>
    <t>P5b</t>
  </si>
  <si>
    <t>P5c</t>
  </si>
  <si>
    <t>As is - note adds with 5b to give 5c</t>
  </si>
  <si>
    <t>Duplex - note adds with 5a to give 5c</t>
  </si>
  <si>
    <t>Plus Cost to Subdivide</t>
  </si>
  <si>
    <t>Value created</t>
  </si>
  <si>
    <t>Duplex - note 5a plus 5b equals this</t>
  </si>
  <si>
    <t>COPY OF P2 - USE TO SHOW RESTRUCTURE</t>
  </si>
  <si>
    <t>P4 - COPY OF P2</t>
  </si>
  <si>
    <t>BREAK EVEN</t>
  </si>
  <si>
    <t>Principal and Interest</t>
  </si>
  <si>
    <t>years</t>
  </si>
  <si>
    <t>KEY STATS</t>
  </si>
  <si>
    <t>Payments per month</t>
  </si>
  <si>
    <t>Cashflow surplus (deficit)</t>
  </si>
  <si>
    <t>Break even rent per week</t>
  </si>
  <si>
    <t>Property Management %</t>
  </si>
  <si>
    <t>Property Management + $300 + GST</t>
  </si>
  <si>
    <t>Before Tax</t>
  </si>
  <si>
    <t>After Tax</t>
  </si>
  <si>
    <t>Video on why 100% debt in calculations</t>
  </si>
  <si>
    <t>Information on chattels valuation</t>
  </si>
  <si>
    <t>HOW TO USE</t>
  </si>
  <si>
    <t>Enter your predictions in this sheet, data to enter</t>
  </si>
  <si>
    <t>Review Property graph for how the capital gain will look</t>
  </si>
  <si>
    <t>Then look at P1 10 year to p5c 10 year, to see what the properties will look like over 10 years</t>
  </si>
  <si>
    <t>Use P1 one year to P5c one year for the current year cashflow</t>
  </si>
  <si>
    <t>P4 - this copies what you enter in P2.  So great to view with 100% debt, and then what it looks like if you add in equity or cash</t>
  </si>
  <si>
    <t>P5a to P5c, use this if you are going to buy, subdivide (or minor dwelling).  5a is the as is, then 5b is the new house or minor dwelling, then 5c is the two added together</t>
  </si>
  <si>
    <t>Updated</t>
  </si>
  <si>
    <t>Need some help or advice?</t>
  </si>
  <si>
    <t xml:space="preserve">Often the best starting point is a free 5 to 10 minute chat with Ross.  This can help point you in the right direction and work out the next best steps.  </t>
  </si>
  <si>
    <t>Ross doesn't give specific accounting/tax or structure advice in this call, but can often identify if your structure could be improved, if you could borrow more that would be tax</t>
  </si>
  <si>
    <t>deductible, and just in general help with your property investment business.   Use this link, and "book a free chat now" to select a time for Ross to ring you</t>
  </si>
  <si>
    <t>https://www.cswaikato.co.nz/services-property-accountants-hamilton/201</t>
  </si>
  <si>
    <t xml:space="preserve">How to use video - </t>
  </si>
  <si>
    <t>Two bedroom if renovated (p1 one year renovated)</t>
  </si>
  <si>
    <t>https://youtu.be/8ki9hCDZqIU</t>
  </si>
  <si>
    <t xml:space="preserve">Hamilton Based on Historic trends </t>
  </si>
  <si>
    <t>6/3/21   .  At this stage, Covid - 19 Effect?  We don't know the full effect</t>
  </si>
  <si>
    <t>Estimations are based on historic property cycle, just to give an example of growth at historic level of 6.3%</t>
  </si>
  <si>
    <t>Obviously no one has a crystal ball and they are just useful to show historic pattern</t>
  </si>
  <si>
    <t>No interest Deduction</t>
  </si>
  <si>
    <t>No Interest deduction</t>
  </si>
  <si>
    <t>Less interest not allowed</t>
  </si>
  <si>
    <t>no interst</t>
  </si>
  <si>
    <t>no interest</t>
  </si>
  <si>
    <t>almost brand new - 2 bedroom in Chch, Feb 2021</t>
  </si>
  <si>
    <t>Slightly old Hamilton 3bedroom new build , March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</si>
</sst>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quot;$&quot;#,##0.00"/>
    <numFmt numFmtId="166" formatCode="&quot;$&quot;#,##0"/>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24"/>
      <name val="Tahoma"/>
      <family val="2"/>
    </font>
    <font>
      <sz val="10"/>
      <name val="Tahoma"/>
      <family val="2"/>
    </font>
    <font>
      <sz val="12"/>
      <name val="Tahoma"/>
      <family val="2"/>
    </font>
    <font>
      <b/>
      <sz val="12"/>
      <name val="Tahoma"/>
      <family val="2"/>
    </font>
    <font>
      <u/>
      <sz val="12"/>
      <name val="Tahoma"/>
      <family val="2"/>
    </font>
    <font>
      <u/>
      <sz val="12"/>
      <name val="Arial"/>
      <family val="2"/>
    </font>
    <font>
      <sz val="8"/>
      <color indexed="81"/>
      <name val="Tahoma"/>
      <family val="2"/>
    </font>
    <font>
      <b/>
      <sz val="8"/>
      <color indexed="81"/>
      <name val="Tahoma"/>
      <family val="2"/>
    </font>
    <font>
      <sz val="10"/>
      <name val="Arial"/>
      <family val="2"/>
    </font>
    <font>
      <b/>
      <sz val="12"/>
      <name val="Arial"/>
      <family val="2"/>
    </font>
    <font>
      <sz val="12"/>
      <color rgb="FFFF0000"/>
      <name val="Tahoma"/>
      <family val="2"/>
    </font>
    <font>
      <b/>
      <sz val="14"/>
      <color rgb="FF43B634"/>
      <name val="Tahoma"/>
      <family val="2"/>
    </font>
    <font>
      <b/>
      <sz val="14"/>
      <color rgb="FFFF0000"/>
      <name val="Tahoma"/>
      <family val="2"/>
    </font>
    <font>
      <b/>
      <sz val="14"/>
      <name val="Tahoma"/>
      <family val="2"/>
    </font>
    <font>
      <b/>
      <sz val="18"/>
      <name val="Arial"/>
      <family val="2"/>
    </font>
    <font>
      <b/>
      <sz val="11"/>
      <color theme="1"/>
      <name val="Calibri"/>
      <family val="2"/>
      <scheme val="minor"/>
    </font>
    <font>
      <b/>
      <sz val="10"/>
      <name val="Arial"/>
      <family val="2"/>
    </font>
    <font>
      <b/>
      <u/>
      <sz val="11"/>
      <color theme="1"/>
      <name val="Calibri"/>
      <family val="2"/>
      <scheme val="minor"/>
    </font>
    <font>
      <sz val="12"/>
      <name val="Arial"/>
      <family val="2"/>
    </font>
    <font>
      <b/>
      <sz val="11"/>
      <name val="Arial"/>
      <family val="2"/>
    </font>
    <font>
      <b/>
      <u/>
      <sz val="12"/>
      <name val="Arial"/>
      <family val="2"/>
    </font>
    <font>
      <b/>
      <u/>
      <sz val="24"/>
      <name val="Tahoma"/>
      <family val="2"/>
    </font>
    <font>
      <b/>
      <u/>
      <sz val="12"/>
      <name val="Tahoma"/>
      <family val="2"/>
    </font>
    <font>
      <u/>
      <sz val="10"/>
      <color theme="10"/>
      <name val="Arial"/>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rgb="FF92D050"/>
        <bgColor indexed="64"/>
      </patternFill>
    </fill>
  </fills>
  <borders count="5">
    <border>
      <left/>
      <right/>
      <top/>
      <bottom/>
      <diagonal/>
    </border>
    <border>
      <left/>
      <right/>
      <top/>
      <bottom style="thin">
        <color indexed="64"/>
      </bottom>
      <diagonal/>
    </border>
    <border>
      <left/>
      <right/>
      <top/>
      <bottom style="double">
        <color indexed="64"/>
      </bottom>
      <diagonal/>
    </border>
    <border>
      <left/>
      <right/>
      <top/>
      <bottom style="medium">
        <color indexed="64"/>
      </bottom>
      <diagonal/>
    </border>
    <border>
      <left/>
      <right/>
      <top style="thin">
        <color indexed="64"/>
      </top>
      <bottom style="thin">
        <color indexed="64"/>
      </bottom>
      <diagonal/>
    </border>
  </borders>
  <cellStyleXfs count="4">
    <xf numFmtId="0" fontId="0" fillId="0" borderId="0"/>
    <xf numFmtId="164" fontId="9" fillId="0" borderId="0" applyFont="0" applyFill="0" applyBorder="0" applyAlignment="0" applyProtection="0"/>
    <xf numFmtId="0" fontId="8" fillId="0" borderId="0"/>
    <xf numFmtId="0" fontId="33" fillId="0" borderId="0" applyNumberFormat="0" applyFill="0" applyBorder="0" applyAlignment="0" applyProtection="0"/>
  </cellStyleXfs>
  <cellXfs count="202">
    <xf numFmtId="0" fontId="0" fillId="0" borderId="0" xfId="0"/>
    <xf numFmtId="0" fontId="0" fillId="0" borderId="0" xfId="0" applyBorder="1"/>
    <xf numFmtId="0" fontId="11" fillId="0" borderId="0" xfId="0" applyFont="1" applyBorder="1"/>
    <xf numFmtId="0" fontId="12" fillId="0" borderId="0" xfId="0" applyFont="1" applyBorder="1"/>
    <xf numFmtId="0" fontId="13" fillId="0" borderId="0" xfId="0" applyFont="1" applyBorder="1"/>
    <xf numFmtId="0" fontId="14" fillId="0" borderId="0" xfId="0" applyFont="1" applyBorder="1"/>
    <xf numFmtId="0" fontId="15" fillId="0" borderId="0" xfId="0" applyFont="1"/>
    <xf numFmtId="15" fontId="15" fillId="0" borderId="0" xfId="0" applyNumberFormat="1" applyFont="1"/>
    <xf numFmtId="166" fontId="12" fillId="0" borderId="0" xfId="0" applyNumberFormat="1" applyFont="1" applyBorder="1"/>
    <xf numFmtId="10" fontId="12" fillId="0" borderId="0" xfId="0" applyNumberFormat="1" applyFont="1" applyBorder="1"/>
    <xf numFmtId="0" fontId="12" fillId="3" borderId="0" xfId="0" applyFont="1" applyFill="1" applyBorder="1"/>
    <xf numFmtId="10" fontId="12" fillId="3" borderId="0" xfId="0" applyNumberFormat="1" applyFont="1" applyFill="1" applyBorder="1"/>
    <xf numFmtId="0" fontId="0" fillId="3" borderId="0" xfId="0" applyFill="1"/>
    <xf numFmtId="0" fontId="0" fillId="3" borderId="0" xfId="0" applyFill="1" applyBorder="1"/>
    <xf numFmtId="164" fontId="18" fillId="3" borderId="0" xfId="1" applyFont="1" applyFill="1" applyBorder="1"/>
    <xf numFmtId="10" fontId="13" fillId="0" borderId="0" xfId="0" applyNumberFormat="1" applyFont="1" applyBorder="1"/>
    <xf numFmtId="9" fontId="13" fillId="0" borderId="0" xfId="0" applyNumberFormat="1" applyFont="1" applyBorder="1"/>
    <xf numFmtId="3" fontId="13" fillId="0" borderId="0" xfId="0" applyNumberFormat="1" applyFont="1" applyBorder="1"/>
    <xf numFmtId="0" fontId="20" fillId="0" borderId="0" xfId="0" applyFont="1" applyBorder="1"/>
    <xf numFmtId="0" fontId="21" fillId="0" borderId="0" xfId="0" applyFont="1" applyBorder="1"/>
    <xf numFmtId="0" fontId="22" fillId="0" borderId="0" xfId="0" applyFont="1" applyBorder="1"/>
    <xf numFmtId="0" fontId="23" fillId="0" borderId="0" xfId="0" applyFont="1" applyBorder="1"/>
    <xf numFmtId="0" fontId="13" fillId="0" borderId="0" xfId="0" applyFont="1" applyFill="1" applyBorder="1"/>
    <xf numFmtId="0" fontId="8" fillId="0" borderId="0" xfId="2"/>
    <xf numFmtId="9" fontId="8" fillId="0" borderId="0" xfId="2" applyNumberFormat="1"/>
    <xf numFmtId="10" fontId="8" fillId="0" borderId="0" xfId="2" applyNumberFormat="1"/>
    <xf numFmtId="166" fontId="13" fillId="0" borderId="0" xfId="0" applyNumberFormat="1" applyFont="1" applyFill="1" applyBorder="1"/>
    <xf numFmtId="166" fontId="12" fillId="0" borderId="0" xfId="0" applyNumberFormat="1" applyFont="1" applyFill="1" applyBorder="1"/>
    <xf numFmtId="0" fontId="0" fillId="0" borderId="1" xfId="0" applyBorder="1"/>
    <xf numFmtId="0" fontId="24" fillId="0" borderId="1" xfId="0" applyFont="1" applyBorder="1"/>
    <xf numFmtId="3" fontId="13" fillId="2" borderId="2" xfId="0" applyNumberFormat="1" applyFont="1" applyFill="1" applyBorder="1"/>
    <xf numFmtId="3" fontId="12" fillId="0" borderId="0" xfId="0" applyNumberFormat="1" applyFont="1" applyBorder="1"/>
    <xf numFmtId="0" fontId="12" fillId="0" borderId="0" xfId="0" applyFont="1"/>
    <xf numFmtId="3" fontId="12" fillId="0" borderId="0" xfId="0" applyNumberFormat="1" applyFont="1"/>
    <xf numFmtId="0" fontId="12" fillId="0" borderId="0" xfId="0" applyFont="1" applyFill="1" applyBorder="1"/>
    <xf numFmtId="3" fontId="12" fillId="0" borderId="0" xfId="0" applyNumberFormat="1" applyFont="1" applyFill="1" applyBorder="1"/>
    <xf numFmtId="10" fontId="13" fillId="0" borderId="0" xfId="0" applyNumberFormat="1" applyFont="1" applyFill="1" applyBorder="1"/>
    <xf numFmtId="3" fontId="12" fillId="0" borderId="1" xfId="0" applyNumberFormat="1" applyFont="1" applyBorder="1"/>
    <xf numFmtId="0" fontId="10" fillId="0" borderId="0" xfId="0" applyFont="1" applyBorder="1" applyAlignment="1">
      <alignment horizontal="left"/>
    </xf>
    <xf numFmtId="0" fontId="28" fillId="0" borderId="0" xfId="0" applyFont="1" applyBorder="1" applyAlignment="1">
      <alignment horizontal="left"/>
    </xf>
    <xf numFmtId="0" fontId="28" fillId="0" borderId="0" xfId="0" applyFont="1" applyBorder="1" applyAlignment="1">
      <alignment horizontal="center"/>
    </xf>
    <xf numFmtId="0" fontId="28" fillId="0" borderId="0" xfId="0" applyFont="1" applyBorder="1"/>
    <xf numFmtId="0" fontId="8" fillId="5" borderId="0" xfId="2" applyFill="1" applyProtection="1">
      <protection locked="0"/>
    </xf>
    <xf numFmtId="9" fontId="8" fillId="5" borderId="0" xfId="2" applyNumberFormat="1" applyFill="1" applyProtection="1">
      <protection locked="0"/>
    </xf>
    <xf numFmtId="10" fontId="8" fillId="5" borderId="0" xfId="2" applyNumberFormat="1" applyFill="1" applyProtection="1">
      <protection locked="0"/>
    </xf>
    <xf numFmtId="166" fontId="13" fillId="5" borderId="0" xfId="0" applyNumberFormat="1" applyFont="1" applyFill="1" applyBorder="1" applyProtection="1">
      <protection locked="0"/>
    </xf>
    <xf numFmtId="0" fontId="13" fillId="5" borderId="0" xfId="0" applyFont="1" applyFill="1" applyBorder="1" applyProtection="1">
      <protection locked="0"/>
    </xf>
    <xf numFmtId="10" fontId="13" fillId="5" borderId="0" xfId="0" applyNumberFormat="1" applyFont="1" applyFill="1" applyBorder="1" applyProtection="1">
      <protection locked="0"/>
    </xf>
    <xf numFmtId="9" fontId="13" fillId="5" borderId="0" xfId="0" applyNumberFormat="1" applyFont="1" applyFill="1" applyBorder="1" applyProtection="1">
      <protection locked="0"/>
    </xf>
    <xf numFmtId="0" fontId="8" fillId="0" borderId="0" xfId="2" applyProtection="1"/>
    <xf numFmtId="0" fontId="8" fillId="0" borderId="1" xfId="2" applyBorder="1" applyProtection="1"/>
    <xf numFmtId="0" fontId="25" fillId="0" borderId="1" xfId="2" applyFont="1" applyBorder="1" applyProtection="1"/>
    <xf numFmtId="0" fontId="7" fillId="0" borderId="0" xfId="2" applyFont="1" applyProtection="1"/>
    <xf numFmtId="0" fontId="27" fillId="0" borderId="0" xfId="2" applyFont="1" applyProtection="1"/>
    <xf numFmtId="0" fontId="0" fillId="0" borderId="0" xfId="0" applyProtection="1"/>
    <xf numFmtId="0" fontId="24" fillId="0" borderId="0" xfId="0" applyFont="1" applyProtection="1"/>
    <xf numFmtId="0" fontId="0" fillId="0" borderId="0" xfId="0" applyBorder="1" applyProtection="1"/>
    <xf numFmtId="0" fontId="12" fillId="0" borderId="0" xfId="0" applyFont="1" applyBorder="1" applyProtection="1"/>
    <xf numFmtId="166" fontId="12" fillId="0" borderId="0" xfId="0" applyNumberFormat="1" applyFont="1" applyBorder="1" applyProtection="1"/>
    <xf numFmtId="166" fontId="13" fillId="0" borderId="0" xfId="0" applyNumberFormat="1" applyFont="1" applyBorder="1" applyProtection="1"/>
    <xf numFmtId="0" fontId="13" fillId="0" borderId="0" xfId="0" applyFont="1" applyBorder="1" applyProtection="1"/>
    <xf numFmtId="0" fontId="21" fillId="0" borderId="0" xfId="0" applyFont="1" applyBorder="1" applyProtection="1"/>
    <xf numFmtId="10" fontId="13" fillId="0" borderId="0" xfId="0" applyNumberFormat="1" applyFont="1" applyBorder="1" applyProtection="1"/>
    <xf numFmtId="10" fontId="12" fillId="0" borderId="0" xfId="0" applyNumberFormat="1" applyFont="1" applyBorder="1" applyProtection="1"/>
    <xf numFmtId="0" fontId="22" fillId="0" borderId="0" xfId="0" applyFont="1" applyBorder="1" applyProtection="1"/>
    <xf numFmtId="0" fontId="20" fillId="0" borderId="0" xfId="0" applyFont="1" applyBorder="1" applyProtection="1"/>
    <xf numFmtId="3" fontId="13" fillId="0" borderId="0" xfId="0" applyNumberFormat="1" applyFont="1" applyBorder="1" applyProtection="1"/>
    <xf numFmtId="0" fontId="9" fillId="0" borderId="0" xfId="0" applyFont="1" applyProtection="1"/>
    <xf numFmtId="0" fontId="13" fillId="0" borderId="0" xfId="0" applyFont="1" applyFill="1" applyBorder="1" applyProtection="1"/>
    <xf numFmtId="165" fontId="13" fillId="0" borderId="0" xfId="0" applyNumberFormat="1" applyFont="1" applyBorder="1" applyProtection="1"/>
    <xf numFmtId="0" fontId="23" fillId="0" borderId="0" xfId="0" applyFont="1" applyBorder="1" applyProtection="1"/>
    <xf numFmtId="10" fontId="13" fillId="4" borderId="0" xfId="0" applyNumberFormat="1" applyFont="1" applyFill="1" applyBorder="1" applyProtection="1"/>
    <xf numFmtId="0" fontId="11" fillId="0" borderId="0" xfId="0" applyFont="1" applyBorder="1" applyProtection="1"/>
    <xf numFmtId="165" fontId="13" fillId="2" borderId="2" xfId="0" applyNumberFormat="1" applyFont="1" applyFill="1" applyBorder="1" applyProtection="1"/>
    <xf numFmtId="0" fontId="11" fillId="2" borderId="0" xfId="0" applyFont="1" applyFill="1" applyBorder="1" applyProtection="1"/>
    <xf numFmtId="165" fontId="12" fillId="0" borderId="0" xfId="0" applyNumberFormat="1" applyFont="1" applyBorder="1" applyProtection="1"/>
    <xf numFmtId="1" fontId="12" fillId="0" borderId="0" xfId="0" applyNumberFormat="1" applyFont="1" applyBorder="1" applyProtection="1"/>
    <xf numFmtId="0" fontId="12" fillId="3" borderId="0" xfId="0" applyFont="1" applyFill="1" applyBorder="1" applyProtection="1"/>
    <xf numFmtId="10" fontId="12" fillId="3" borderId="0" xfId="0" applyNumberFormat="1" applyFont="1" applyFill="1" applyBorder="1" applyProtection="1"/>
    <xf numFmtId="0" fontId="0" fillId="3" borderId="0" xfId="0" applyFill="1" applyProtection="1"/>
    <xf numFmtId="0" fontId="0" fillId="3" borderId="0" xfId="0" applyFill="1" applyBorder="1" applyProtection="1"/>
    <xf numFmtId="164" fontId="18" fillId="3" borderId="0" xfId="1" applyFont="1" applyFill="1" applyBorder="1" applyProtection="1"/>
    <xf numFmtId="0" fontId="14" fillId="0" borderId="0" xfId="0" applyFont="1" applyBorder="1" applyProtection="1"/>
    <xf numFmtId="0" fontId="15" fillId="0" borderId="0" xfId="0" applyFont="1" applyProtection="1"/>
    <xf numFmtId="15" fontId="15" fillId="0" borderId="0" xfId="0" applyNumberFormat="1" applyFont="1" applyProtection="1"/>
    <xf numFmtId="3" fontId="13" fillId="6" borderId="0" xfId="0" applyNumberFormat="1" applyFont="1" applyFill="1" applyBorder="1" applyProtection="1">
      <protection locked="0"/>
    </xf>
    <xf numFmtId="3" fontId="0" fillId="0" borderId="0" xfId="0" applyNumberFormat="1"/>
    <xf numFmtId="165" fontId="0" fillId="0" borderId="0" xfId="0" applyNumberFormat="1"/>
    <xf numFmtId="0" fontId="26" fillId="0" borderId="4" xfId="0" applyFont="1" applyBorder="1" applyProtection="1"/>
    <xf numFmtId="0" fontId="6" fillId="0" borderId="0" xfId="2" applyFont="1"/>
    <xf numFmtId="0" fontId="9" fillId="0" borderId="0" xfId="0" applyFont="1"/>
    <xf numFmtId="10" fontId="0" fillId="0" borderId="0" xfId="0" applyNumberFormat="1"/>
    <xf numFmtId="0" fontId="26" fillId="0" borderId="0" xfId="0" applyFont="1" applyProtection="1"/>
    <xf numFmtId="166" fontId="26" fillId="0" borderId="0" xfId="0" applyNumberFormat="1" applyFont="1" applyProtection="1"/>
    <xf numFmtId="0" fontId="5" fillId="0" borderId="0" xfId="2" applyFont="1"/>
    <xf numFmtId="3" fontId="0" fillId="0" borderId="0" xfId="0" applyNumberFormat="1" applyProtection="1"/>
    <xf numFmtId="3" fontId="0" fillId="0" borderId="0" xfId="0" applyNumberFormat="1" applyProtection="1">
      <protection locked="0"/>
    </xf>
    <xf numFmtId="0" fontId="4" fillId="0" borderId="0" xfId="2" applyFont="1"/>
    <xf numFmtId="10" fontId="19" fillId="0" borderId="0" xfId="0" applyNumberFormat="1" applyFont="1" applyFill="1" applyBorder="1" applyProtection="1">
      <protection locked="0"/>
    </xf>
    <xf numFmtId="0" fontId="26" fillId="0" borderId="0" xfId="0" applyFont="1" applyAlignment="1">
      <alignment horizontal="center"/>
    </xf>
    <xf numFmtId="0" fontId="26" fillId="0" borderId="0" xfId="0" applyFont="1" applyBorder="1" applyProtection="1"/>
    <xf numFmtId="3" fontId="12" fillId="7" borderId="0" xfId="0" applyNumberFormat="1" applyFont="1" applyFill="1" applyBorder="1" applyProtection="1">
      <protection locked="0"/>
    </xf>
    <xf numFmtId="3" fontId="13" fillId="0" borderId="0" xfId="0" applyNumberFormat="1" applyFont="1" applyFill="1" applyBorder="1"/>
    <xf numFmtId="0" fontId="12" fillId="2" borderId="0" xfId="0" applyFont="1" applyFill="1" applyBorder="1"/>
    <xf numFmtId="0" fontId="13" fillId="2" borderId="0" xfId="0" applyFont="1" applyFill="1" applyBorder="1"/>
    <xf numFmtId="3" fontId="12" fillId="2" borderId="0" xfId="0" applyNumberFormat="1" applyFont="1" applyFill="1" applyBorder="1"/>
    <xf numFmtId="3" fontId="19" fillId="0" borderId="0" xfId="0" applyNumberFormat="1" applyFont="1" applyProtection="1"/>
    <xf numFmtId="0" fontId="30" fillId="0" borderId="0" xfId="0" applyFont="1" applyProtection="1"/>
    <xf numFmtId="3" fontId="19" fillId="0" borderId="0" xfId="0" applyNumberFormat="1" applyFont="1" applyBorder="1" applyProtection="1"/>
    <xf numFmtId="3" fontId="19" fillId="2" borderId="2" xfId="0" applyNumberFormat="1" applyFont="1" applyFill="1" applyBorder="1" applyProtection="1"/>
    <xf numFmtId="3" fontId="13" fillId="5" borderId="0" xfId="0" applyNumberFormat="1" applyFont="1" applyFill="1" applyBorder="1" applyProtection="1">
      <protection locked="0"/>
    </xf>
    <xf numFmtId="3" fontId="12" fillId="0" borderId="0" xfId="0" applyNumberFormat="1" applyFont="1" applyBorder="1" applyProtection="1"/>
    <xf numFmtId="3" fontId="13" fillId="5" borderId="1" xfId="0" applyNumberFormat="1" applyFont="1" applyFill="1" applyBorder="1" applyProtection="1">
      <protection locked="0"/>
    </xf>
    <xf numFmtId="3" fontId="13" fillId="0" borderId="3" xfId="0" applyNumberFormat="1" applyFont="1" applyBorder="1" applyProtection="1"/>
    <xf numFmtId="3" fontId="13" fillId="0" borderId="2" xfId="0" applyNumberFormat="1" applyFont="1" applyBorder="1" applyProtection="1"/>
    <xf numFmtId="166" fontId="19" fillId="0" borderId="0" xfId="0" applyNumberFormat="1" applyFont="1" applyProtection="1"/>
    <xf numFmtId="3" fontId="12" fillId="7" borderId="0" xfId="0" applyNumberFormat="1" applyFont="1" applyFill="1" applyProtection="1">
      <protection locked="0"/>
    </xf>
    <xf numFmtId="3" fontId="13" fillId="0" borderId="1" xfId="0" applyNumberFormat="1" applyFont="1" applyBorder="1"/>
    <xf numFmtId="3" fontId="13" fillId="2" borderId="0" xfId="0" applyNumberFormat="1" applyFont="1" applyFill="1" applyBorder="1"/>
    <xf numFmtId="0" fontId="10" fillId="0" borderId="0" xfId="0" applyFont="1" applyBorder="1" applyAlignment="1">
      <alignment horizontal="center"/>
    </xf>
    <xf numFmtId="166" fontId="13" fillId="2" borderId="0" xfId="0" applyNumberFormat="1" applyFont="1" applyFill="1" applyBorder="1" applyProtection="1">
      <protection locked="0"/>
    </xf>
    <xf numFmtId="0" fontId="26" fillId="0" borderId="0" xfId="0" applyFont="1"/>
    <xf numFmtId="0" fontId="26" fillId="0" borderId="1" xfId="0" applyFont="1" applyBorder="1" applyAlignment="1">
      <alignment horizontal="center"/>
    </xf>
    <xf numFmtId="0" fontId="26" fillId="0" borderId="1" xfId="0" applyFont="1" applyBorder="1"/>
    <xf numFmtId="3" fontId="26" fillId="0" borderId="0" xfId="0" applyNumberFormat="1" applyFont="1"/>
    <xf numFmtId="3" fontId="0" fillId="0" borderId="0" xfId="0" applyNumberFormat="1" applyFill="1" applyProtection="1"/>
    <xf numFmtId="3" fontId="0" fillId="0" borderId="0" xfId="0" applyNumberFormat="1" applyFill="1" applyBorder="1" applyProtection="1"/>
    <xf numFmtId="10" fontId="26" fillId="0" borderId="0" xfId="0" applyNumberFormat="1" applyFont="1"/>
    <xf numFmtId="0" fontId="10" fillId="0" borderId="0" xfId="0" applyFont="1" applyBorder="1" applyAlignment="1" applyProtection="1">
      <alignment horizontal="center"/>
    </xf>
    <xf numFmtId="0" fontId="10" fillId="0" borderId="0" xfId="0" applyFont="1" applyBorder="1" applyAlignment="1" applyProtection="1">
      <alignment horizontal="center"/>
    </xf>
    <xf numFmtId="166" fontId="13" fillId="0" borderId="0" xfId="0" applyNumberFormat="1" applyFont="1" applyFill="1" applyBorder="1" applyProtection="1"/>
    <xf numFmtId="166" fontId="12" fillId="0" borderId="0" xfId="0" applyNumberFormat="1" applyFont="1" applyFill="1" applyBorder="1" applyProtection="1"/>
    <xf numFmtId="3" fontId="12" fillId="0" borderId="0" xfId="0" applyNumberFormat="1" applyFont="1" applyProtection="1"/>
    <xf numFmtId="3" fontId="12" fillId="7" borderId="0" xfId="0" applyNumberFormat="1" applyFont="1" applyFill="1" applyBorder="1" applyProtection="1"/>
    <xf numFmtId="3" fontId="12" fillId="7" borderId="0" xfId="0" applyNumberFormat="1" applyFont="1" applyFill="1" applyProtection="1"/>
    <xf numFmtId="3" fontId="13" fillId="0" borderId="0" xfId="0" applyNumberFormat="1" applyFont="1" applyFill="1" applyBorder="1" applyProtection="1"/>
    <xf numFmtId="0" fontId="12" fillId="0" borderId="0" xfId="0" applyFont="1" applyFill="1" applyBorder="1" applyProtection="1"/>
    <xf numFmtId="3" fontId="12" fillId="0" borderId="0" xfId="0" applyNumberFormat="1" applyFont="1" applyFill="1" applyBorder="1" applyProtection="1"/>
    <xf numFmtId="10" fontId="13" fillId="0" borderId="0" xfId="0" applyNumberFormat="1" applyFont="1" applyFill="1" applyBorder="1" applyProtection="1"/>
    <xf numFmtId="3" fontId="12" fillId="2" borderId="0" xfId="0" applyNumberFormat="1" applyFont="1" applyFill="1" applyBorder="1" applyProtection="1"/>
    <xf numFmtId="3" fontId="13" fillId="0" borderId="1" xfId="0" applyNumberFormat="1" applyFont="1" applyBorder="1" applyProtection="1"/>
    <xf numFmtId="0" fontId="12" fillId="2" borderId="0" xfId="0" applyFont="1" applyFill="1" applyBorder="1" applyProtection="1"/>
    <xf numFmtId="0" fontId="13" fillId="2" borderId="0" xfId="0" applyFont="1" applyFill="1" applyBorder="1" applyProtection="1"/>
    <xf numFmtId="3" fontId="13" fillId="2" borderId="0" xfId="0" applyNumberFormat="1" applyFont="1" applyFill="1" applyBorder="1" applyProtection="1"/>
    <xf numFmtId="3" fontId="12" fillId="0" borderId="1" xfId="0" applyNumberFormat="1" applyFont="1" applyBorder="1" applyProtection="1"/>
    <xf numFmtId="9" fontId="13" fillId="0" borderId="0" xfId="0" applyNumberFormat="1" applyFont="1" applyBorder="1" applyProtection="1"/>
    <xf numFmtId="165" fontId="0" fillId="0" borderId="0" xfId="0" applyNumberFormat="1" applyProtection="1"/>
    <xf numFmtId="3" fontId="13" fillId="2" borderId="2" xfId="0" applyNumberFormat="1" applyFont="1" applyFill="1" applyBorder="1" applyProtection="1"/>
    <xf numFmtId="0" fontId="10" fillId="0" borderId="0" xfId="0" applyFont="1" applyBorder="1" applyAlignment="1" applyProtection="1">
      <alignment horizontal="left"/>
    </xf>
    <xf numFmtId="0" fontId="28" fillId="0" borderId="0" xfId="0" applyFont="1" applyBorder="1" applyAlignment="1" applyProtection="1">
      <alignment horizontal="left"/>
    </xf>
    <xf numFmtId="0" fontId="28" fillId="0" borderId="0" xfId="0" applyFont="1" applyBorder="1" applyAlignment="1" applyProtection="1">
      <alignment horizontal="center"/>
    </xf>
    <xf numFmtId="0" fontId="28" fillId="0" borderId="0" xfId="0" applyFont="1" applyBorder="1" applyProtection="1"/>
    <xf numFmtId="0" fontId="0" fillId="0" borderId="1" xfId="0" applyBorder="1" applyProtection="1"/>
    <xf numFmtId="0" fontId="24" fillId="0" borderId="1" xfId="0" applyFont="1" applyBorder="1" applyProtection="1"/>
    <xf numFmtId="0" fontId="26" fillId="0" borderId="0" xfId="0" applyFont="1" applyAlignment="1" applyProtection="1">
      <alignment horizontal="center"/>
    </xf>
    <xf numFmtId="0" fontId="12" fillId="0" borderId="0" xfId="0" applyFont="1" applyProtection="1"/>
    <xf numFmtId="0" fontId="19" fillId="0" borderId="0" xfId="0" applyFont="1" applyBorder="1" applyProtection="1"/>
    <xf numFmtId="0" fontId="31" fillId="0" borderId="0" xfId="0" applyFont="1" applyBorder="1" applyAlignment="1" applyProtection="1">
      <alignment horizontal="left"/>
    </xf>
    <xf numFmtId="0" fontId="32" fillId="0" borderId="0" xfId="0" applyFont="1" applyBorder="1" applyProtection="1"/>
    <xf numFmtId="1" fontId="19" fillId="0" borderId="0" xfId="0" applyNumberFormat="1" applyFont="1" applyBorder="1" applyProtection="1"/>
    <xf numFmtId="0" fontId="28" fillId="0" borderId="0" xfId="0" applyFont="1" applyProtection="1"/>
    <xf numFmtId="2" fontId="19" fillId="0" borderId="0" xfId="0" applyNumberFormat="1" applyFont="1" applyBorder="1" applyProtection="1"/>
    <xf numFmtId="3" fontId="28" fillId="0" borderId="0" xfId="0" applyNumberFormat="1" applyFont="1" applyProtection="1"/>
    <xf numFmtId="1" fontId="28" fillId="0" borderId="0" xfId="0" applyNumberFormat="1" applyFont="1" applyProtection="1"/>
    <xf numFmtId="0" fontId="3" fillId="0" borderId="0" xfId="2" applyFont="1" applyProtection="1"/>
    <xf numFmtId="0" fontId="28" fillId="0" borderId="0" xfId="0" applyFont="1" applyAlignment="1" applyProtection="1">
      <alignment horizontal="center"/>
    </xf>
    <xf numFmtId="0" fontId="19" fillId="0" borderId="0" xfId="0" applyFont="1" applyProtection="1"/>
    <xf numFmtId="0" fontId="33" fillId="0" borderId="0" xfId="3"/>
    <xf numFmtId="0" fontId="33" fillId="0" borderId="0" xfId="3" applyProtection="1"/>
    <xf numFmtId="10" fontId="19" fillId="0" borderId="0" xfId="0" applyNumberFormat="1" applyFont="1" applyFill="1" applyBorder="1" applyProtection="1"/>
    <xf numFmtId="3" fontId="0" fillId="2" borderId="0" xfId="0" applyNumberFormat="1" applyFill="1" applyProtection="1">
      <protection locked="0"/>
    </xf>
    <xf numFmtId="3" fontId="0" fillId="2" borderId="1" xfId="0" applyNumberFormat="1" applyFill="1" applyBorder="1" applyProtection="1">
      <protection locked="0"/>
    </xf>
    <xf numFmtId="0" fontId="10" fillId="0" borderId="0" xfId="0" applyFont="1" applyBorder="1" applyAlignment="1" applyProtection="1">
      <alignment horizontal="center"/>
    </xf>
    <xf numFmtId="0" fontId="27" fillId="0" borderId="0" xfId="2" applyFont="1"/>
    <xf numFmtId="0" fontId="2" fillId="0" borderId="0" xfId="2" applyFont="1"/>
    <xf numFmtId="0" fontId="10" fillId="0" borderId="0" xfId="0" applyFont="1" applyBorder="1" applyAlignment="1" applyProtection="1">
      <alignment horizontal="center"/>
    </xf>
    <xf numFmtId="0" fontId="1" fillId="0" borderId="0" xfId="2" applyFont="1"/>
    <xf numFmtId="0" fontId="1" fillId="0" borderId="0" xfId="2" applyFont="1" applyProtection="1"/>
    <xf numFmtId="0" fontId="10" fillId="0" borderId="0" xfId="0" applyFont="1" applyBorder="1" applyAlignment="1" applyProtection="1">
      <alignment horizontal="center"/>
    </xf>
    <xf numFmtId="0" fontId="10" fillId="0" borderId="0" xfId="0" applyFont="1" applyBorder="1" applyAlignment="1" applyProtection="1">
      <alignment horizontal="center"/>
    </xf>
    <xf numFmtId="3" fontId="19" fillId="0" borderId="2" xfId="0" applyNumberFormat="1" applyFont="1" applyBorder="1" applyProtection="1"/>
    <xf numFmtId="3" fontId="28" fillId="0" borderId="1" xfId="0" applyNumberFormat="1" applyFont="1" applyBorder="1" applyProtection="1"/>
    <xf numFmtId="3" fontId="28" fillId="0" borderId="3" xfId="0" applyNumberFormat="1" applyFont="1" applyBorder="1" applyProtection="1"/>
    <xf numFmtId="0" fontId="12" fillId="8" borderId="0" xfId="0" applyFont="1" applyFill="1" applyBorder="1" applyProtection="1"/>
    <xf numFmtId="0" fontId="13" fillId="8" borderId="0" xfId="0" applyFont="1" applyFill="1" applyBorder="1" applyProtection="1"/>
    <xf numFmtId="3" fontId="13" fillId="8" borderId="0" xfId="0" applyNumberFormat="1" applyFont="1" applyFill="1" applyBorder="1" applyProtection="1"/>
    <xf numFmtId="0" fontId="26" fillId="8" borderId="1" xfId="0" applyFont="1" applyFill="1" applyBorder="1" applyAlignment="1">
      <alignment horizontal="center"/>
    </xf>
    <xf numFmtId="0" fontId="0" fillId="8" borderId="0" xfId="0" applyFill="1"/>
    <xf numFmtId="10" fontId="0" fillId="8" borderId="0" xfId="0" applyNumberFormat="1" applyFill="1"/>
    <xf numFmtId="3" fontId="0" fillId="8" borderId="0" xfId="0" applyNumberFormat="1" applyFill="1"/>
    <xf numFmtId="0" fontId="29" fillId="0" borderId="0" xfId="0" applyFont="1" applyAlignment="1" applyProtection="1"/>
    <xf numFmtId="0" fontId="10" fillId="0" borderId="0" xfId="0" applyFont="1" applyBorder="1" applyAlignment="1" applyProtection="1">
      <alignment horizontal="center"/>
    </xf>
    <xf numFmtId="0" fontId="26" fillId="0" borderId="0" xfId="0" applyFont="1" applyAlignment="1" applyProtection="1">
      <alignment wrapText="1"/>
      <protection locked="0"/>
    </xf>
    <xf numFmtId="0" fontId="29" fillId="0" borderId="0" xfId="0" applyFont="1" applyAlignment="1" applyProtection="1">
      <alignment wrapText="1"/>
      <protection locked="0"/>
    </xf>
    <xf numFmtId="0" fontId="26" fillId="0" borderId="0" xfId="0" applyFont="1" applyAlignment="1" applyProtection="1">
      <alignment wrapText="1"/>
    </xf>
    <xf numFmtId="0" fontId="29" fillId="0" borderId="0" xfId="0" applyFont="1" applyAlignment="1" applyProtection="1">
      <alignment wrapText="1"/>
    </xf>
    <xf numFmtId="0" fontId="26" fillId="0" borderId="1" xfId="0" applyFont="1" applyBorder="1" applyAlignment="1" applyProtection="1"/>
    <xf numFmtId="0" fontId="0" fillId="0" borderId="1" xfId="0" applyBorder="1" applyAlignment="1" applyProtection="1"/>
    <xf numFmtId="0" fontId="29" fillId="0" borderId="0" xfId="0" applyFont="1" applyAlignment="1"/>
    <xf numFmtId="0" fontId="26" fillId="0" borderId="1" xfId="0" applyFont="1" applyBorder="1" applyAlignment="1" applyProtection="1">
      <protection locked="0"/>
    </xf>
    <xf numFmtId="0" fontId="0" fillId="0" borderId="1" xfId="0" applyBorder="1" applyAlignment="1" applyProtection="1">
      <protection locked="0"/>
    </xf>
    <xf numFmtId="0" fontId="10" fillId="0" borderId="0" xfId="0" applyFont="1" applyBorder="1" applyAlignment="1">
      <alignment horizontal="center"/>
    </xf>
  </cellXfs>
  <cellStyles count="4">
    <cellStyle name="Currency" xfId="1" builtinId="4"/>
    <cellStyle name="Hyperlink" xfId="3" builtinId="8"/>
    <cellStyle name="Normal" xfId="0" builtinId="0"/>
    <cellStyle name="Normal 2" xfId="2" xr:uid="{00000000-0005-0000-0000-000002000000}"/>
  </cellStyles>
  <dxfs count="0"/>
  <tableStyles count="0" defaultTableStyle="TableStyleMedium9" defaultPivotStyle="PivotStyleLight16"/>
  <colors>
    <mruColors>
      <color rgb="FF43B6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worksheet" Target="worksheets/sheet2.xml"/><Relationship Id="rId21" Type="http://schemas.openxmlformats.org/officeDocument/2006/relationships/theme" Target="theme/theme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chartsheet" Target="chartsheets/sheet1.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microsoft.com/office/2017/10/relationships/person" Target="persons/person.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47195750042638E-2"/>
          <c:y val="7.9619892834599748E-2"/>
          <c:w val="0.92736194915693315"/>
          <c:h val="0.82805606967479228"/>
        </c:manualLayout>
      </c:layout>
      <c:lineChart>
        <c:grouping val="standard"/>
        <c:varyColors val="0"/>
        <c:ser>
          <c:idx val="3"/>
          <c:order val="1"/>
          <c:tx>
            <c:strRef>
              <c:f>Sheet1!$A$5</c:f>
              <c:strCache>
                <c:ptCount val="1"/>
                <c:pt idx="0">
                  <c:v>6.3% Growth</c:v>
                </c:pt>
              </c:strCache>
            </c:strRef>
          </c:tx>
          <c:spPr>
            <a:ln w="28575" cap="rnd">
              <a:solidFill>
                <a:srgbClr val="00B050"/>
              </a:solidFill>
              <a:round/>
            </a:ln>
            <a:effectLst/>
          </c:spPr>
          <c:marker>
            <c:symbol val="none"/>
          </c:marker>
          <c:cat>
            <c:numRef>
              <c:f>Sheet1!$G$4:$AM$4</c:f>
              <c:numCache>
                <c:formatCode>General</c:formatCode>
                <c:ptCount val="33"/>
                <c:pt idx="0">
                  <c:v>1996</c:v>
                </c:pt>
                <c:pt idx="2">
                  <c:v>1998</c:v>
                </c:pt>
                <c:pt idx="4">
                  <c:v>2000</c:v>
                </c:pt>
                <c:pt idx="6">
                  <c:v>2002</c:v>
                </c:pt>
                <c:pt idx="8">
                  <c:v>2004</c:v>
                </c:pt>
                <c:pt idx="10">
                  <c:v>2006</c:v>
                </c:pt>
                <c:pt idx="12">
                  <c:v>2008</c:v>
                </c:pt>
                <c:pt idx="14">
                  <c:v>2010</c:v>
                </c:pt>
                <c:pt idx="16">
                  <c:v>2012</c:v>
                </c:pt>
                <c:pt idx="18">
                  <c:v>2014</c:v>
                </c:pt>
                <c:pt idx="20">
                  <c:v>2016</c:v>
                </c:pt>
                <c:pt idx="22">
                  <c:v>2018</c:v>
                </c:pt>
                <c:pt idx="24">
                  <c:v>2020</c:v>
                </c:pt>
                <c:pt idx="26">
                  <c:v>2022</c:v>
                </c:pt>
                <c:pt idx="28">
                  <c:v>2024</c:v>
                </c:pt>
                <c:pt idx="30">
                  <c:v>2026</c:v>
                </c:pt>
                <c:pt idx="32">
                  <c:v>2028</c:v>
                </c:pt>
              </c:numCache>
            </c:numRef>
          </c:cat>
          <c:val>
            <c:numRef>
              <c:f>Sheet1!$G$5:$AM$5</c:f>
              <c:numCache>
                <c:formatCode>General</c:formatCode>
                <c:ptCount val="33"/>
                <c:pt idx="0">
                  <c:v>134705.55877138546</c:v>
                </c:pt>
                <c:pt idx="1">
                  <c:v>143192.00897398274</c:v>
                </c:pt>
                <c:pt idx="2">
                  <c:v>152213.10553934364</c:v>
                </c:pt>
                <c:pt idx="3">
                  <c:v>161802.53118832229</c:v>
                </c:pt>
                <c:pt idx="4">
                  <c:v>171996.09065318658</c:v>
                </c:pt>
                <c:pt idx="5">
                  <c:v>182831.84436433733</c:v>
                </c:pt>
                <c:pt idx="6">
                  <c:v>194350.25055929058</c:v>
                </c:pt>
                <c:pt idx="7">
                  <c:v>206594.31634452587</c:v>
                </c:pt>
                <c:pt idx="8">
                  <c:v>219609.75827423099</c:v>
                </c:pt>
                <c:pt idx="9">
                  <c:v>233445.17304550752</c:v>
                </c:pt>
                <c:pt idx="10">
                  <c:v>248152.21894737447</c:v>
                </c:pt>
                <c:pt idx="11">
                  <c:v>263785.80874105904</c:v>
                </c:pt>
                <c:pt idx="12">
                  <c:v>280404.31469174573</c:v>
                </c:pt>
                <c:pt idx="13">
                  <c:v>298069.78651732567</c:v>
                </c:pt>
                <c:pt idx="14">
                  <c:v>316848.18306791718</c:v>
                </c:pt>
                <c:pt idx="15">
                  <c:v>336809.61860119592</c:v>
                </c:pt>
                <c:pt idx="16">
                  <c:v>358028.62457307125</c:v>
                </c:pt>
                <c:pt idx="17">
                  <c:v>380584.42792117473</c:v>
                </c:pt>
                <c:pt idx="18">
                  <c:v>404561.24688020872</c:v>
                </c:pt>
                <c:pt idx="19">
                  <c:v>430048.60543366184</c:v>
                </c:pt>
                <c:pt idx="20">
                  <c:v>457141.66757598252</c:v>
                </c:pt>
                <c:pt idx="21">
                  <c:v>485941.59263326938</c:v>
                </c:pt>
                <c:pt idx="22">
                  <c:v>516555.91296916531</c:v>
                </c:pt>
                <c:pt idx="23">
                  <c:v>549098.93548622273</c:v>
                </c:pt>
                <c:pt idx="24">
                  <c:v>583692.16842185473</c:v>
                </c:pt>
                <c:pt idx="25">
                  <c:v>620464.77503243159</c:v>
                </c:pt>
                <c:pt idx="26">
                  <c:v>659554.0558594747</c:v>
                </c:pt>
                <c:pt idx="27">
                  <c:v>701105.96137862152</c:v>
                </c:pt>
                <c:pt idx="28">
                  <c:v>745275.63694547466</c:v>
                </c:pt>
                <c:pt idx="29">
                  <c:v>792228.00207303953</c:v>
                </c:pt>
                <c:pt idx="30">
                  <c:v>842138.36620364094</c:v>
                </c:pt>
                <c:pt idx="31">
                  <c:v>895193.08327447029</c:v>
                </c:pt>
                <c:pt idx="32">
                  <c:v>951590.24752076191</c:v>
                </c:pt>
              </c:numCache>
            </c:numRef>
          </c:val>
          <c:smooth val="0"/>
          <c:extLst>
            <c:ext xmlns:c16="http://schemas.microsoft.com/office/drawing/2014/chart" uri="{C3380CC4-5D6E-409C-BE32-E72D297353CC}">
              <c16:uniqueId val="{00000001-B644-4412-A4E8-1B9C38E3F157}"/>
            </c:ext>
          </c:extLst>
        </c:ser>
        <c:ser>
          <c:idx val="4"/>
          <c:order val="2"/>
          <c:tx>
            <c:strRef>
              <c:f>Sheet1!$A$6</c:f>
              <c:strCache>
                <c:ptCount val="1"/>
                <c:pt idx="0">
                  <c:v>Actual NZ</c:v>
                </c:pt>
              </c:strCache>
            </c:strRef>
          </c:tx>
          <c:spPr>
            <a:ln w="25400">
              <a:solidFill>
                <a:srgbClr val="FF0000"/>
              </a:solidFill>
              <a:prstDash val="solid"/>
            </a:ln>
          </c:spPr>
          <c:marker>
            <c:symbol val="none"/>
          </c:marker>
          <c:cat>
            <c:numRef>
              <c:f>Sheet1!$G$4:$AM$4</c:f>
              <c:numCache>
                <c:formatCode>General</c:formatCode>
                <c:ptCount val="33"/>
                <c:pt idx="0">
                  <c:v>1996</c:v>
                </c:pt>
                <c:pt idx="2">
                  <c:v>1998</c:v>
                </c:pt>
                <c:pt idx="4">
                  <c:v>2000</c:v>
                </c:pt>
                <c:pt idx="6">
                  <c:v>2002</c:v>
                </c:pt>
                <c:pt idx="8">
                  <c:v>2004</c:v>
                </c:pt>
                <c:pt idx="10">
                  <c:v>2006</c:v>
                </c:pt>
                <c:pt idx="12">
                  <c:v>2008</c:v>
                </c:pt>
                <c:pt idx="14">
                  <c:v>2010</c:v>
                </c:pt>
                <c:pt idx="16">
                  <c:v>2012</c:v>
                </c:pt>
                <c:pt idx="18">
                  <c:v>2014</c:v>
                </c:pt>
                <c:pt idx="20">
                  <c:v>2016</c:v>
                </c:pt>
                <c:pt idx="22">
                  <c:v>2018</c:v>
                </c:pt>
                <c:pt idx="24">
                  <c:v>2020</c:v>
                </c:pt>
                <c:pt idx="26">
                  <c:v>2022</c:v>
                </c:pt>
                <c:pt idx="28">
                  <c:v>2024</c:v>
                </c:pt>
                <c:pt idx="30">
                  <c:v>2026</c:v>
                </c:pt>
                <c:pt idx="32">
                  <c:v>2028</c:v>
                </c:pt>
              </c:numCache>
            </c:numRef>
          </c:cat>
          <c:val>
            <c:numRef>
              <c:f>Sheet1!$G$6:$AM$6</c:f>
              <c:numCache>
                <c:formatCode>General</c:formatCode>
                <c:ptCount val="33"/>
                <c:pt idx="0">
                  <c:v>147000</c:v>
                </c:pt>
                <c:pt idx="1">
                  <c:v>160000</c:v>
                </c:pt>
                <c:pt idx="2">
                  <c:v>163000</c:v>
                </c:pt>
                <c:pt idx="3">
                  <c:v>165000</c:v>
                </c:pt>
                <c:pt idx="4">
                  <c:v>170000</c:v>
                </c:pt>
                <c:pt idx="5">
                  <c:v>175000</c:v>
                </c:pt>
                <c:pt idx="6">
                  <c:v>175000</c:v>
                </c:pt>
                <c:pt idx="7">
                  <c:v>193100</c:v>
                </c:pt>
                <c:pt idx="8">
                  <c:v>229000</c:v>
                </c:pt>
                <c:pt idx="9">
                  <c:v>265000</c:v>
                </c:pt>
                <c:pt idx="10">
                  <c:v>300000</c:v>
                </c:pt>
                <c:pt idx="11">
                  <c:v>327000</c:v>
                </c:pt>
                <c:pt idx="12">
                  <c:v>340000</c:v>
                </c:pt>
                <c:pt idx="13">
                  <c:v>325000</c:v>
                </c:pt>
                <c:pt idx="14">
                  <c:v>350000</c:v>
                </c:pt>
                <c:pt idx="15">
                  <c:v>340000</c:v>
                </c:pt>
                <c:pt idx="16">
                  <c:v>355000</c:v>
                </c:pt>
                <c:pt idx="17">
                  <c:v>370000</c:v>
                </c:pt>
                <c:pt idx="18">
                  <c:v>425000</c:v>
                </c:pt>
                <c:pt idx="19">
                  <c:v>426000</c:v>
                </c:pt>
                <c:pt idx="20">
                  <c:v>448000</c:v>
                </c:pt>
                <c:pt idx="21">
                  <c:v>490000</c:v>
                </c:pt>
                <c:pt idx="22">
                  <c:v>520000</c:v>
                </c:pt>
                <c:pt idx="23">
                  <c:v>550000</c:v>
                </c:pt>
                <c:pt idx="24">
                  <c:v>615000</c:v>
                </c:pt>
                <c:pt idx="25">
                  <c:v>730300</c:v>
                </c:pt>
              </c:numCache>
            </c:numRef>
          </c:val>
          <c:smooth val="0"/>
          <c:extLst>
            <c:ext xmlns:c16="http://schemas.microsoft.com/office/drawing/2014/chart" uri="{C3380CC4-5D6E-409C-BE32-E72D297353CC}">
              <c16:uniqueId val="{00000002-B644-4412-A4E8-1B9C38E3F157}"/>
            </c:ext>
          </c:extLst>
        </c:ser>
        <c:ser>
          <c:idx val="0"/>
          <c:order val="3"/>
          <c:tx>
            <c:strRef>
              <c:f>Sheet1!$A$7</c:f>
              <c:strCache>
                <c:ptCount val="1"/>
                <c:pt idx="0">
                  <c:v>Hamilton</c:v>
                </c:pt>
              </c:strCache>
            </c:strRef>
          </c:tx>
          <c:spPr>
            <a:ln>
              <a:solidFill>
                <a:srgbClr val="0070C0"/>
              </a:solidFill>
            </a:ln>
          </c:spPr>
          <c:marker>
            <c:symbol val="none"/>
          </c:marker>
          <c:cat>
            <c:numRef>
              <c:f>Sheet1!$G$4:$AM$4</c:f>
              <c:numCache>
                <c:formatCode>General</c:formatCode>
                <c:ptCount val="33"/>
                <c:pt idx="0">
                  <c:v>1996</c:v>
                </c:pt>
                <c:pt idx="2">
                  <c:v>1998</c:v>
                </c:pt>
                <c:pt idx="4">
                  <c:v>2000</c:v>
                </c:pt>
                <c:pt idx="6">
                  <c:v>2002</c:v>
                </c:pt>
                <c:pt idx="8">
                  <c:v>2004</c:v>
                </c:pt>
                <c:pt idx="10">
                  <c:v>2006</c:v>
                </c:pt>
                <c:pt idx="12">
                  <c:v>2008</c:v>
                </c:pt>
                <c:pt idx="14">
                  <c:v>2010</c:v>
                </c:pt>
                <c:pt idx="16">
                  <c:v>2012</c:v>
                </c:pt>
                <c:pt idx="18">
                  <c:v>2014</c:v>
                </c:pt>
                <c:pt idx="20">
                  <c:v>2016</c:v>
                </c:pt>
                <c:pt idx="22">
                  <c:v>2018</c:v>
                </c:pt>
                <c:pt idx="24">
                  <c:v>2020</c:v>
                </c:pt>
                <c:pt idx="26">
                  <c:v>2022</c:v>
                </c:pt>
                <c:pt idx="28">
                  <c:v>2024</c:v>
                </c:pt>
                <c:pt idx="30">
                  <c:v>2026</c:v>
                </c:pt>
                <c:pt idx="32">
                  <c:v>2028</c:v>
                </c:pt>
              </c:numCache>
            </c:numRef>
          </c:cat>
          <c:val>
            <c:numRef>
              <c:f>Sheet1!$G$7:$AL$7</c:f>
              <c:numCache>
                <c:formatCode>General</c:formatCode>
                <c:ptCount val="32"/>
                <c:pt idx="0">
                  <c:v>145000</c:v>
                </c:pt>
                <c:pt idx="1">
                  <c:v>151000</c:v>
                </c:pt>
                <c:pt idx="2">
                  <c:v>165000</c:v>
                </c:pt>
                <c:pt idx="3">
                  <c:v>164000</c:v>
                </c:pt>
                <c:pt idx="4">
                  <c:v>166500</c:v>
                </c:pt>
                <c:pt idx="5">
                  <c:v>156000</c:v>
                </c:pt>
                <c:pt idx="6">
                  <c:v>154000</c:v>
                </c:pt>
                <c:pt idx="7">
                  <c:v>165250</c:v>
                </c:pt>
                <c:pt idx="8">
                  <c:v>189000</c:v>
                </c:pt>
                <c:pt idx="9">
                  <c:v>244000</c:v>
                </c:pt>
                <c:pt idx="10">
                  <c:v>285000</c:v>
                </c:pt>
                <c:pt idx="11">
                  <c:v>315000</c:v>
                </c:pt>
                <c:pt idx="12">
                  <c:v>325000</c:v>
                </c:pt>
                <c:pt idx="13">
                  <c:v>290000</c:v>
                </c:pt>
                <c:pt idx="14">
                  <c:v>319540</c:v>
                </c:pt>
                <c:pt idx="15">
                  <c:v>329000</c:v>
                </c:pt>
                <c:pt idx="16">
                  <c:v>315000</c:v>
                </c:pt>
                <c:pt idx="17">
                  <c:v>320000</c:v>
                </c:pt>
                <c:pt idx="18">
                  <c:v>350000</c:v>
                </c:pt>
                <c:pt idx="19">
                  <c:v>355000</c:v>
                </c:pt>
                <c:pt idx="20">
                  <c:v>388000</c:v>
                </c:pt>
                <c:pt idx="21">
                  <c:v>495000</c:v>
                </c:pt>
                <c:pt idx="22">
                  <c:v>505000</c:v>
                </c:pt>
                <c:pt idx="23">
                  <c:v>579000</c:v>
                </c:pt>
                <c:pt idx="24">
                  <c:v>619000</c:v>
                </c:pt>
                <c:pt idx="25">
                  <c:v>695000</c:v>
                </c:pt>
              </c:numCache>
            </c:numRef>
          </c:val>
          <c:smooth val="0"/>
          <c:extLst>
            <c:ext xmlns:c16="http://schemas.microsoft.com/office/drawing/2014/chart" uri="{C3380CC4-5D6E-409C-BE32-E72D297353CC}">
              <c16:uniqueId val="{00000003-B644-4412-A4E8-1B9C38E3F157}"/>
            </c:ext>
          </c:extLst>
        </c:ser>
        <c:ser>
          <c:idx val="1"/>
          <c:order val="4"/>
          <c:tx>
            <c:strRef>
              <c:f>Sheet1!$A$8</c:f>
              <c:strCache>
                <c:ptCount val="1"/>
                <c:pt idx="0">
                  <c:v>Hamilton Based on Historic trends </c:v>
                </c:pt>
              </c:strCache>
            </c:strRef>
          </c:tx>
          <c:spPr>
            <a:ln>
              <a:solidFill>
                <a:srgbClr val="FFFF00"/>
              </a:solidFill>
            </a:ln>
          </c:spPr>
          <c:marker>
            <c:symbol val="none"/>
          </c:marker>
          <c:cat>
            <c:numRef>
              <c:f>Sheet1!$G$4:$AM$4</c:f>
              <c:numCache>
                <c:formatCode>General</c:formatCode>
                <c:ptCount val="33"/>
                <c:pt idx="0">
                  <c:v>1996</c:v>
                </c:pt>
                <c:pt idx="2">
                  <c:v>1998</c:v>
                </c:pt>
                <c:pt idx="4">
                  <c:v>2000</c:v>
                </c:pt>
                <c:pt idx="6">
                  <c:v>2002</c:v>
                </c:pt>
                <c:pt idx="8">
                  <c:v>2004</c:v>
                </c:pt>
                <c:pt idx="10">
                  <c:v>2006</c:v>
                </c:pt>
                <c:pt idx="12">
                  <c:v>2008</c:v>
                </c:pt>
                <c:pt idx="14">
                  <c:v>2010</c:v>
                </c:pt>
                <c:pt idx="16">
                  <c:v>2012</c:v>
                </c:pt>
                <c:pt idx="18">
                  <c:v>2014</c:v>
                </c:pt>
                <c:pt idx="20">
                  <c:v>2016</c:v>
                </c:pt>
                <c:pt idx="22">
                  <c:v>2018</c:v>
                </c:pt>
                <c:pt idx="24">
                  <c:v>2020</c:v>
                </c:pt>
                <c:pt idx="26">
                  <c:v>2022</c:v>
                </c:pt>
                <c:pt idx="28">
                  <c:v>2024</c:v>
                </c:pt>
                <c:pt idx="30">
                  <c:v>2026</c:v>
                </c:pt>
                <c:pt idx="32">
                  <c:v>2028</c:v>
                </c:pt>
              </c:numCache>
            </c:numRef>
          </c:cat>
          <c:val>
            <c:numRef>
              <c:f>Sheet1!$G$8:$AM$8</c:f>
              <c:numCache>
                <c:formatCode>General</c:formatCode>
                <c:ptCount val="33"/>
                <c:pt idx="24">
                  <c:v>619000</c:v>
                </c:pt>
                <c:pt idx="25">
                  <c:v>619000</c:v>
                </c:pt>
                <c:pt idx="26">
                  <c:v>619000</c:v>
                </c:pt>
                <c:pt idx="27">
                  <c:v>634475</c:v>
                </c:pt>
                <c:pt idx="28">
                  <c:v>666198.75</c:v>
                </c:pt>
                <c:pt idx="29">
                  <c:v>712832.66250000009</c:v>
                </c:pt>
                <c:pt idx="30">
                  <c:v>776987.60212500021</c:v>
                </c:pt>
                <c:pt idx="31">
                  <c:v>862456.23835875036</c:v>
                </c:pt>
                <c:pt idx="32">
                  <c:v>991824.67411256279</c:v>
                </c:pt>
              </c:numCache>
            </c:numRef>
          </c:val>
          <c:smooth val="0"/>
          <c:extLst>
            <c:ext xmlns:c16="http://schemas.microsoft.com/office/drawing/2014/chart" uri="{C3380CC4-5D6E-409C-BE32-E72D297353CC}">
              <c16:uniqueId val="{00000001-064C-4676-BFAA-5E8030998536}"/>
            </c:ext>
          </c:extLst>
        </c:ser>
        <c:dLbls>
          <c:showLegendKey val="0"/>
          <c:showVal val="0"/>
          <c:showCatName val="0"/>
          <c:showSerName val="0"/>
          <c:showPercent val="0"/>
          <c:showBubbleSize val="0"/>
        </c:dLbls>
        <c:smooth val="0"/>
        <c:axId val="499661776"/>
        <c:axId val="499664912"/>
        <c:extLst>
          <c:ext xmlns:c15="http://schemas.microsoft.com/office/drawing/2012/chart" uri="{02D57815-91ED-43cb-92C2-25804820EDAC}">
            <c15:filteredLineSeries>
              <c15:ser>
                <c:idx val="2"/>
                <c:order val="0"/>
                <c:tx>
                  <c:strRef>
                    <c:extLst>
                      <c:ext uri="{02D57815-91ED-43cb-92C2-25804820EDAC}">
                        <c15:formulaRef>
                          <c15:sqref>Sheet1!$A$5</c15:sqref>
                        </c15:formulaRef>
                      </c:ext>
                    </c:extLst>
                    <c:strCache>
                      <c:ptCount val="1"/>
                      <c:pt idx="0">
                        <c:v>6.3% Growth</c:v>
                      </c:pt>
                    </c:strCache>
                  </c:strRef>
                </c:tx>
                <c:spPr>
                  <a:ln w="28575" cap="rnd">
                    <a:solidFill>
                      <a:srgbClr val="00B050"/>
                    </a:solidFill>
                    <a:round/>
                  </a:ln>
                  <a:effectLst/>
                </c:spPr>
                <c:marker>
                  <c:symbol val="none"/>
                </c:marker>
                <c:cat>
                  <c:numRef>
                    <c:extLst>
                      <c:ext uri="{02D57815-91ED-43cb-92C2-25804820EDAC}">
                        <c15:formulaRef>
                          <c15:sqref>Sheet1!$G$4:$AM$4</c15:sqref>
                        </c15:formulaRef>
                      </c:ext>
                    </c:extLst>
                    <c:numCache>
                      <c:formatCode>General</c:formatCode>
                      <c:ptCount val="33"/>
                      <c:pt idx="0">
                        <c:v>1996</c:v>
                      </c:pt>
                      <c:pt idx="2">
                        <c:v>1998</c:v>
                      </c:pt>
                      <c:pt idx="4">
                        <c:v>2000</c:v>
                      </c:pt>
                      <c:pt idx="6">
                        <c:v>2002</c:v>
                      </c:pt>
                      <c:pt idx="8">
                        <c:v>2004</c:v>
                      </c:pt>
                      <c:pt idx="10">
                        <c:v>2006</c:v>
                      </c:pt>
                      <c:pt idx="12">
                        <c:v>2008</c:v>
                      </c:pt>
                      <c:pt idx="14">
                        <c:v>2010</c:v>
                      </c:pt>
                      <c:pt idx="16">
                        <c:v>2012</c:v>
                      </c:pt>
                      <c:pt idx="18">
                        <c:v>2014</c:v>
                      </c:pt>
                      <c:pt idx="20">
                        <c:v>2016</c:v>
                      </c:pt>
                      <c:pt idx="22">
                        <c:v>2018</c:v>
                      </c:pt>
                      <c:pt idx="24">
                        <c:v>2020</c:v>
                      </c:pt>
                      <c:pt idx="26">
                        <c:v>2022</c:v>
                      </c:pt>
                      <c:pt idx="28">
                        <c:v>2024</c:v>
                      </c:pt>
                      <c:pt idx="30">
                        <c:v>2026</c:v>
                      </c:pt>
                      <c:pt idx="32">
                        <c:v>2028</c:v>
                      </c:pt>
                    </c:numCache>
                  </c:numRef>
                </c:cat>
                <c:val>
                  <c:numRef>
                    <c:extLst>
                      <c:ext uri="{02D57815-91ED-43cb-92C2-25804820EDAC}">
                        <c15:formulaRef>
                          <c15:sqref>Sheet1!$G$4:$AL$4</c15:sqref>
                        </c15:formulaRef>
                      </c:ext>
                    </c:extLst>
                    <c:numCache>
                      <c:formatCode>General</c:formatCode>
                      <c:ptCount val="32"/>
                      <c:pt idx="0">
                        <c:v>1996</c:v>
                      </c:pt>
                      <c:pt idx="2">
                        <c:v>1998</c:v>
                      </c:pt>
                      <c:pt idx="4">
                        <c:v>2000</c:v>
                      </c:pt>
                      <c:pt idx="6">
                        <c:v>2002</c:v>
                      </c:pt>
                      <c:pt idx="8">
                        <c:v>2004</c:v>
                      </c:pt>
                      <c:pt idx="10">
                        <c:v>2006</c:v>
                      </c:pt>
                      <c:pt idx="12">
                        <c:v>2008</c:v>
                      </c:pt>
                      <c:pt idx="14">
                        <c:v>2010</c:v>
                      </c:pt>
                      <c:pt idx="16">
                        <c:v>2012</c:v>
                      </c:pt>
                      <c:pt idx="18">
                        <c:v>2014</c:v>
                      </c:pt>
                      <c:pt idx="20">
                        <c:v>2016</c:v>
                      </c:pt>
                      <c:pt idx="22">
                        <c:v>2018</c:v>
                      </c:pt>
                      <c:pt idx="24">
                        <c:v>2020</c:v>
                      </c:pt>
                      <c:pt idx="26">
                        <c:v>2022</c:v>
                      </c:pt>
                      <c:pt idx="28">
                        <c:v>2024</c:v>
                      </c:pt>
                      <c:pt idx="30">
                        <c:v>2026</c:v>
                      </c:pt>
                    </c:numCache>
                  </c:numRef>
                </c:val>
                <c:smooth val="0"/>
                <c:extLst>
                  <c:ext xmlns:c16="http://schemas.microsoft.com/office/drawing/2014/chart" uri="{C3380CC4-5D6E-409C-BE32-E72D297353CC}">
                    <c16:uniqueId val="{00000000-B644-4412-A4E8-1B9C38E3F157}"/>
                  </c:ext>
                </c:extLst>
              </c15:ser>
            </c15:filteredLineSeries>
          </c:ext>
        </c:extLst>
      </c:lineChart>
      <c:catAx>
        <c:axId val="49966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499664912"/>
        <c:crosses val="autoZero"/>
        <c:auto val="1"/>
        <c:lblAlgn val="ctr"/>
        <c:lblOffset val="100"/>
        <c:noMultiLvlLbl val="0"/>
      </c:catAx>
      <c:valAx>
        <c:axId val="499664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499661776"/>
        <c:crosses val="autoZero"/>
        <c:crossBetween val="between"/>
      </c:valAx>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sheetViews>
    <sheetView zoomScale="103" workbookViewId="0"/>
  </sheetViews>
  <sheetProtection algorithmName="SHA-512" hashValue="o7l3Q8fhcw4iuTtjwnPQPkxf5+TQXvoSMx64OHaQSEEaGtWUCPBlOICQZbh9smPI88WWpZ8lxBodBEA5IJH85w==" saltValue="SZMT/H0lsemaL2nNV7FV5Q==" spinCount="100000"/>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38101</xdr:rowOff>
    </xdr:from>
    <xdr:to>
      <xdr:col>1</xdr:col>
      <xdr:colOff>717688</xdr:colOff>
      <xdr:row>0</xdr:row>
      <xdr:rowOff>685801</xdr:rowOff>
    </xdr:to>
    <xdr:pic>
      <xdr:nvPicPr>
        <xdr:cNvPr id="2" name="Picture 1">
          <a:extLst>
            <a:ext uri="{FF2B5EF4-FFF2-40B4-BE49-F238E27FC236}">
              <a16:creationId xmlns:a16="http://schemas.microsoft.com/office/drawing/2014/main" id="{790C954E-9B70-440A-BC54-C9E3704DB7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38101"/>
          <a:ext cx="2365513"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219075</xdr:colOff>
      <xdr:row>0</xdr:row>
      <xdr:rowOff>0</xdr:rowOff>
    </xdr:from>
    <xdr:to>
      <xdr:col>3</xdr:col>
      <xdr:colOff>1037925</xdr:colOff>
      <xdr:row>0</xdr:row>
      <xdr:rowOff>657143</xdr:rowOff>
    </xdr:to>
    <xdr:pic>
      <xdr:nvPicPr>
        <xdr:cNvPr id="2" name="Picture 1">
          <a:extLst>
            <a:ext uri="{FF2B5EF4-FFF2-40B4-BE49-F238E27FC236}">
              <a16:creationId xmlns:a16="http://schemas.microsoft.com/office/drawing/2014/main" id="{B2DDE5C0-098A-49AB-AD26-A7EFB6168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0"/>
          <a:ext cx="2400000" cy="6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0</xdr:row>
      <xdr:rowOff>0</xdr:rowOff>
    </xdr:from>
    <xdr:to>
      <xdr:col>3</xdr:col>
      <xdr:colOff>1028400</xdr:colOff>
      <xdr:row>0</xdr:row>
      <xdr:rowOff>657143</xdr:rowOff>
    </xdr:to>
    <xdr:pic>
      <xdr:nvPicPr>
        <xdr:cNvPr id="3" name="Picture 2">
          <a:extLst>
            <a:ext uri="{FF2B5EF4-FFF2-40B4-BE49-F238E27FC236}">
              <a16:creationId xmlns:a16="http://schemas.microsoft.com/office/drawing/2014/main" id="{F9042516-4525-42BF-91ED-570A13B49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0"/>
          <a:ext cx="2400000" cy="657143"/>
        </a:xfrm>
        <a:prstGeom prst="rect">
          <a:avLst/>
        </a:prstGeom>
      </xdr:spPr>
    </xdr:pic>
    <xdr:clientData/>
  </xdr:twoCellAnchor>
  <xdr:twoCellAnchor editAs="oneCell">
    <xdr:from>
      <xdr:col>14</xdr:col>
      <xdr:colOff>50800</xdr:colOff>
      <xdr:row>14</xdr:row>
      <xdr:rowOff>127000</xdr:rowOff>
    </xdr:from>
    <xdr:to>
      <xdr:col>32</xdr:col>
      <xdr:colOff>346231</xdr:colOff>
      <xdr:row>43</xdr:row>
      <xdr:rowOff>51699</xdr:rowOff>
    </xdr:to>
    <xdr:pic>
      <xdr:nvPicPr>
        <xdr:cNvPr id="4" name="Picture 3">
          <a:extLst>
            <a:ext uri="{FF2B5EF4-FFF2-40B4-BE49-F238E27FC236}">
              <a16:creationId xmlns:a16="http://schemas.microsoft.com/office/drawing/2014/main" id="{F13A3AD5-19F1-42E2-A21B-055074CCB8F1}"/>
            </a:ext>
          </a:extLst>
        </xdr:cNvPr>
        <xdr:cNvPicPr>
          <a:picLocks noChangeAspect="1"/>
        </xdr:cNvPicPr>
      </xdr:nvPicPr>
      <xdr:blipFill>
        <a:blip xmlns:r="http://schemas.openxmlformats.org/officeDocument/2006/relationships" r:embed="rId2"/>
        <a:stretch>
          <a:fillRect/>
        </a:stretch>
      </xdr:blipFill>
      <xdr:spPr>
        <a:xfrm>
          <a:off x="10131425" y="3143250"/>
          <a:ext cx="11447619" cy="55047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9525</xdr:rowOff>
    </xdr:from>
    <xdr:to>
      <xdr:col>3</xdr:col>
      <xdr:colOff>247350</xdr:colOff>
      <xdr:row>0</xdr:row>
      <xdr:rowOff>666668</xdr:rowOff>
    </xdr:to>
    <xdr:pic>
      <xdr:nvPicPr>
        <xdr:cNvPr id="2" name="Picture 1">
          <a:extLst>
            <a:ext uri="{FF2B5EF4-FFF2-40B4-BE49-F238E27FC236}">
              <a16:creationId xmlns:a16="http://schemas.microsoft.com/office/drawing/2014/main" id="{7067389F-7643-4DA7-9F72-9937EEA19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9525"/>
          <a:ext cx="2400000" cy="6571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0</xdr:row>
      <xdr:rowOff>9525</xdr:rowOff>
    </xdr:from>
    <xdr:to>
      <xdr:col>3</xdr:col>
      <xdr:colOff>247350</xdr:colOff>
      <xdr:row>0</xdr:row>
      <xdr:rowOff>666668</xdr:rowOff>
    </xdr:to>
    <xdr:pic>
      <xdr:nvPicPr>
        <xdr:cNvPr id="2" name="Picture 1">
          <a:extLst>
            <a:ext uri="{FF2B5EF4-FFF2-40B4-BE49-F238E27FC236}">
              <a16:creationId xmlns:a16="http://schemas.microsoft.com/office/drawing/2014/main" id="{56046AED-97EA-4D12-B83C-259460DEBB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9525"/>
          <a:ext cx="2400000" cy="6571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66675</xdr:colOff>
      <xdr:row>0</xdr:row>
      <xdr:rowOff>9525</xdr:rowOff>
    </xdr:from>
    <xdr:to>
      <xdr:col>3</xdr:col>
      <xdr:colOff>275925</xdr:colOff>
      <xdr:row>0</xdr:row>
      <xdr:rowOff>666668</xdr:rowOff>
    </xdr:to>
    <xdr:pic>
      <xdr:nvPicPr>
        <xdr:cNvPr id="2" name="Picture 1">
          <a:extLst>
            <a:ext uri="{FF2B5EF4-FFF2-40B4-BE49-F238E27FC236}">
              <a16:creationId xmlns:a16="http://schemas.microsoft.com/office/drawing/2014/main" id="{8C721E03-96B6-49F5-8DC8-255E8FBE28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9525"/>
          <a:ext cx="2400000" cy="6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66675</xdr:colOff>
      <xdr:row>0</xdr:row>
      <xdr:rowOff>9525</xdr:rowOff>
    </xdr:from>
    <xdr:to>
      <xdr:col>3</xdr:col>
      <xdr:colOff>275925</xdr:colOff>
      <xdr:row>0</xdr:row>
      <xdr:rowOff>666668</xdr:rowOff>
    </xdr:to>
    <xdr:pic>
      <xdr:nvPicPr>
        <xdr:cNvPr id="2" name="Picture 1">
          <a:extLst>
            <a:ext uri="{FF2B5EF4-FFF2-40B4-BE49-F238E27FC236}">
              <a16:creationId xmlns:a16="http://schemas.microsoft.com/office/drawing/2014/main" id="{6314B266-5923-4E06-A71C-4662B75381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9525"/>
          <a:ext cx="2400000" cy="6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256875</xdr:colOff>
      <xdr:row>0</xdr:row>
      <xdr:rowOff>657143</xdr:rowOff>
    </xdr:to>
    <xdr:pic>
      <xdr:nvPicPr>
        <xdr:cNvPr id="2" name="Picture 1">
          <a:extLst>
            <a:ext uri="{FF2B5EF4-FFF2-40B4-BE49-F238E27FC236}">
              <a16:creationId xmlns:a16="http://schemas.microsoft.com/office/drawing/2014/main" id="{93116EC4-0729-4EF0-AD51-EA06E8C44B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0"/>
          <a:ext cx="2400000" cy="6571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76200</xdr:colOff>
      <xdr:row>0</xdr:row>
      <xdr:rowOff>9525</xdr:rowOff>
    </xdr:from>
    <xdr:to>
      <xdr:col>3</xdr:col>
      <xdr:colOff>285450</xdr:colOff>
      <xdr:row>0</xdr:row>
      <xdr:rowOff>666668</xdr:rowOff>
    </xdr:to>
    <xdr:pic>
      <xdr:nvPicPr>
        <xdr:cNvPr id="2" name="Picture 1">
          <a:extLst>
            <a:ext uri="{FF2B5EF4-FFF2-40B4-BE49-F238E27FC236}">
              <a16:creationId xmlns:a16="http://schemas.microsoft.com/office/drawing/2014/main" id="{CDD93A0C-4470-4F5B-A3D1-ED03A601E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9525"/>
          <a:ext cx="2400000" cy="6571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19050</xdr:rowOff>
    </xdr:from>
    <xdr:to>
      <xdr:col>3</xdr:col>
      <xdr:colOff>218775</xdr:colOff>
      <xdr:row>0</xdr:row>
      <xdr:rowOff>676193</xdr:rowOff>
    </xdr:to>
    <xdr:pic>
      <xdr:nvPicPr>
        <xdr:cNvPr id="2" name="Picture 1">
          <a:extLst>
            <a:ext uri="{FF2B5EF4-FFF2-40B4-BE49-F238E27FC236}">
              <a16:creationId xmlns:a16="http://schemas.microsoft.com/office/drawing/2014/main" id="{9AE57E8C-9155-4135-91EA-B1432F6467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9050"/>
          <a:ext cx="2400000" cy="6571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3</xdr:col>
      <xdr:colOff>247350</xdr:colOff>
      <xdr:row>0</xdr:row>
      <xdr:rowOff>676193</xdr:rowOff>
    </xdr:to>
    <xdr:pic>
      <xdr:nvPicPr>
        <xdr:cNvPr id="2" name="Picture 1">
          <a:extLst>
            <a:ext uri="{FF2B5EF4-FFF2-40B4-BE49-F238E27FC236}">
              <a16:creationId xmlns:a16="http://schemas.microsoft.com/office/drawing/2014/main" id="{75A73005-9949-4A8E-A644-5B9B684409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
          <a:ext cx="2400000" cy="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303058" cy="6075655"/>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3</xdr:col>
      <xdr:colOff>314025</xdr:colOff>
      <xdr:row>0</xdr:row>
      <xdr:rowOff>666668</xdr:rowOff>
    </xdr:to>
    <xdr:pic>
      <xdr:nvPicPr>
        <xdr:cNvPr id="2" name="Picture 1">
          <a:extLst>
            <a:ext uri="{FF2B5EF4-FFF2-40B4-BE49-F238E27FC236}">
              <a16:creationId xmlns:a16="http://schemas.microsoft.com/office/drawing/2014/main" id="{3E0D320C-E6D2-4099-AF00-200CDF6E6D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9525"/>
          <a:ext cx="2400000" cy="6571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209550</xdr:colOff>
      <xdr:row>0</xdr:row>
      <xdr:rowOff>9525</xdr:rowOff>
    </xdr:from>
    <xdr:to>
      <xdr:col>19</xdr:col>
      <xdr:colOff>171150</xdr:colOff>
      <xdr:row>0</xdr:row>
      <xdr:rowOff>666668</xdr:rowOff>
    </xdr:to>
    <xdr:pic>
      <xdr:nvPicPr>
        <xdr:cNvPr id="2" name="Picture 1">
          <a:extLst>
            <a:ext uri="{FF2B5EF4-FFF2-40B4-BE49-F238E27FC236}">
              <a16:creationId xmlns:a16="http://schemas.microsoft.com/office/drawing/2014/main" id="{CF309D0A-E5A2-4BBC-AF47-748F70CF5E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86950" y="9525"/>
          <a:ext cx="2400000" cy="657143"/>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0.08208</cdr:x>
      <cdr:y>0.00533</cdr:y>
    </cdr:from>
    <cdr:to>
      <cdr:x>0.25274</cdr:x>
      <cdr:y>0.07703</cdr:y>
    </cdr:to>
    <cdr:pic>
      <cdr:nvPicPr>
        <cdr:cNvPr id="2" name="Picture 1">
          <a:extLst xmlns:a="http://schemas.openxmlformats.org/drawingml/2006/main">
            <a:ext uri="{FF2B5EF4-FFF2-40B4-BE49-F238E27FC236}">
              <a16:creationId xmlns:a16="http://schemas.microsoft.com/office/drawing/2014/main" id="{91B67587-A146-4BFB-8D35-D4CD6D6931A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62863" y="32305"/>
          <a:ext cx="1586021" cy="434268"/>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28575</xdr:rowOff>
    </xdr:from>
    <xdr:to>
      <xdr:col>1</xdr:col>
      <xdr:colOff>533100</xdr:colOff>
      <xdr:row>0</xdr:row>
      <xdr:rowOff>685718</xdr:rowOff>
    </xdr:to>
    <xdr:pic>
      <xdr:nvPicPr>
        <xdr:cNvPr id="2" name="Picture 1">
          <a:extLst>
            <a:ext uri="{FF2B5EF4-FFF2-40B4-BE49-F238E27FC236}">
              <a16:creationId xmlns:a16="http://schemas.microsoft.com/office/drawing/2014/main" id="{26391B7C-5646-4F8B-AA53-495183DE4B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28575"/>
          <a:ext cx="2400000" cy="6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4</xdr:col>
      <xdr:colOff>18750</xdr:colOff>
      <xdr:row>0</xdr:row>
      <xdr:rowOff>723818</xdr:rowOff>
    </xdr:to>
    <xdr:pic>
      <xdr:nvPicPr>
        <xdr:cNvPr id="3" name="Picture 2">
          <a:extLst>
            <a:ext uri="{FF2B5EF4-FFF2-40B4-BE49-F238E27FC236}">
              <a16:creationId xmlns:a16="http://schemas.microsoft.com/office/drawing/2014/main" id="{91B67587-A146-4BFB-8D35-D4CD6D693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66675"/>
          <a:ext cx="2400000" cy="6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4</xdr:col>
      <xdr:colOff>9225</xdr:colOff>
      <xdr:row>0</xdr:row>
      <xdr:rowOff>676193</xdr:rowOff>
    </xdr:to>
    <xdr:pic>
      <xdr:nvPicPr>
        <xdr:cNvPr id="2" name="Picture 1">
          <a:extLst>
            <a:ext uri="{FF2B5EF4-FFF2-40B4-BE49-F238E27FC236}">
              <a16:creationId xmlns:a16="http://schemas.microsoft.com/office/drawing/2014/main" id="{EE0FAF8E-6FA1-479F-BD79-D08E0CAC1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9050"/>
          <a:ext cx="2400000" cy="6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0</xdr:row>
      <xdr:rowOff>19050</xdr:rowOff>
    </xdr:from>
    <xdr:to>
      <xdr:col>3</xdr:col>
      <xdr:colOff>1037925</xdr:colOff>
      <xdr:row>0</xdr:row>
      <xdr:rowOff>676193</xdr:rowOff>
    </xdr:to>
    <xdr:pic>
      <xdr:nvPicPr>
        <xdr:cNvPr id="2" name="Picture 1">
          <a:extLst>
            <a:ext uri="{FF2B5EF4-FFF2-40B4-BE49-F238E27FC236}">
              <a16:creationId xmlns:a16="http://schemas.microsoft.com/office/drawing/2014/main" id="{9064EB9F-F7AE-4C34-A06C-5B8CC6924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19050"/>
          <a:ext cx="2400000" cy="6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9225</xdr:colOff>
      <xdr:row>0</xdr:row>
      <xdr:rowOff>657143</xdr:rowOff>
    </xdr:to>
    <xdr:pic>
      <xdr:nvPicPr>
        <xdr:cNvPr id="2" name="Picture 1">
          <a:extLst>
            <a:ext uri="{FF2B5EF4-FFF2-40B4-BE49-F238E27FC236}">
              <a16:creationId xmlns:a16="http://schemas.microsoft.com/office/drawing/2014/main" id="{A9FE4BE2-4613-4A87-9A6E-DF6BA37F94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0"/>
          <a:ext cx="2400000" cy="6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219075</xdr:colOff>
      <xdr:row>0</xdr:row>
      <xdr:rowOff>0</xdr:rowOff>
    </xdr:from>
    <xdr:to>
      <xdr:col>3</xdr:col>
      <xdr:colOff>1037925</xdr:colOff>
      <xdr:row>0</xdr:row>
      <xdr:rowOff>657143</xdr:rowOff>
    </xdr:to>
    <xdr:pic>
      <xdr:nvPicPr>
        <xdr:cNvPr id="2" name="Picture 1">
          <a:extLst>
            <a:ext uri="{FF2B5EF4-FFF2-40B4-BE49-F238E27FC236}">
              <a16:creationId xmlns:a16="http://schemas.microsoft.com/office/drawing/2014/main" id="{3AEF85FD-8EE7-4F4B-A005-0922E41B1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0"/>
          <a:ext cx="2400000" cy="6571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Ross Barnett" id="{0F877D54-EFA6-404C-8029-85E6A584A0B8}" userId="S::ross@cswaikato.co.nz::7b28fb52-bce5-4264-b030-29963506ee8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24" dT="2020-04-14T09:52:38.06" personId="{0F877D54-EFA6-404C-8029-85E6A584A0B8}" id="{DC808E46-BB0F-400E-9DE2-CDB0A84D591E}">
    <text>Half of mortgage comes off 5 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L24" dT="2020-04-14T09:52:38.06" personId="{0F877D54-EFA6-404C-8029-85E6A584A0B8}" id="{D610F3B8-0192-4BCD-8612-D317CEE0E555}">
    <text>Half of mortgage comes off 5 year</text>
  </threadedComment>
</ThreadedComments>
</file>

<file path=xl/threadedComments/threadedComment3.xml><?xml version="1.0" encoding="utf-8"?>
<ThreadedComments xmlns="http://schemas.microsoft.com/office/spreadsheetml/2018/threadedcomments" xmlns:x="http://schemas.openxmlformats.org/spreadsheetml/2006/main">
  <threadedComment ref="L24" dT="2020-04-14T09:52:38.06" personId="{0F877D54-EFA6-404C-8029-85E6A584A0B8}" id="{FD33A40F-1E2E-4193-B1CB-99921848F57D}">
    <text>Half of mortgage comes off 5 year</text>
  </threadedComment>
</ThreadedComments>
</file>

<file path=xl/threadedComments/threadedComment4.xml><?xml version="1.0" encoding="utf-8"?>
<ThreadedComments xmlns="http://schemas.microsoft.com/office/spreadsheetml/2018/threadedcomments" xmlns:x="http://schemas.openxmlformats.org/spreadsheetml/2006/main">
  <threadedComment ref="L24" dT="2020-04-14T09:52:38.06" personId="{0F877D54-EFA6-404C-8029-85E6A584A0B8}" id="{E93764C1-86C2-4DA2-BBFB-CBB21662E68D}">
    <text>Half of mortgage comes off 5 year</text>
  </threadedComment>
</ThreadedComments>
</file>

<file path=xl/threadedComments/threadedComment5.xml><?xml version="1.0" encoding="utf-8"?>
<ThreadedComments xmlns="http://schemas.microsoft.com/office/spreadsheetml/2018/threadedcomments" xmlns:x="http://schemas.openxmlformats.org/spreadsheetml/2006/main">
  <threadedComment ref="L24" dT="2020-04-14T09:52:38.06" personId="{0F877D54-EFA6-404C-8029-85E6A584A0B8}" id="{D9142C43-6B75-4D15-B861-65651A276E86}">
    <text>Half of mortgage comes off 5 year</text>
  </threadedComment>
</ThreadedComments>
</file>

<file path=xl/threadedComments/threadedComment6.xml><?xml version="1.0" encoding="utf-8"?>
<ThreadedComments xmlns="http://schemas.microsoft.com/office/spreadsheetml/2018/threadedcomments" xmlns:x="http://schemas.openxmlformats.org/spreadsheetml/2006/main">
  <threadedComment ref="L24" dT="2020-04-14T09:52:38.06" personId="{0F877D54-EFA6-404C-8029-85E6A584A0B8}" id="{2BD82D60-102B-43F1-B36B-26309D41B15A}">
    <text>Half of mortgage comes off 5 year</text>
  </threadedComment>
</ThreadedComments>
</file>

<file path=xl/threadedComments/threadedComment7.xml><?xml version="1.0" encoding="utf-8"?>
<ThreadedComments xmlns="http://schemas.microsoft.com/office/spreadsheetml/2018/threadedcomments" xmlns:x="http://schemas.openxmlformats.org/spreadsheetml/2006/main">
  <threadedComment ref="L24" dT="2020-04-14T09:52:38.06" personId="{0F877D54-EFA6-404C-8029-85E6A584A0B8}" id="{4D7EB518-BBE3-4C13-9F44-8BBB4C0F7447}">
    <text>Half of mortgage comes off 5 year</text>
  </threadedComment>
</ThreadedComments>
</file>

<file path=xl/threadedComments/threadedComment8.xml><?xml version="1.0" encoding="utf-8"?>
<ThreadedComments xmlns="http://schemas.microsoft.com/office/spreadsheetml/2018/threadedcomments" xmlns:x="http://schemas.openxmlformats.org/spreadsheetml/2006/main">
  <threadedComment ref="L24" dT="2020-04-14T09:52:38.06" personId="{0F877D54-EFA6-404C-8029-85E6A584A0B8}" id="{DE427237-0AF7-4F53-942E-3C23A48DAD69}">
    <text>Half of mortgage comes off 5 year</text>
  </threadedComment>
</ThreadedComments>
</file>

<file path=xl/threadedComments/threadedComment9.xml><?xml version="1.0" encoding="utf-8"?>
<ThreadedComments xmlns="http://schemas.microsoft.com/office/spreadsheetml/2018/threadedcomments" xmlns:x="http://schemas.openxmlformats.org/spreadsheetml/2006/main">
  <threadedComment ref="L24" dT="2020-04-14T09:52:38.06" personId="{0F877D54-EFA6-404C-8029-85E6A584A0B8}" id="{B295EAE7-1478-4285-ACD7-9BA9CB45E3AC}">
    <text>Half of mortgage comes off 5 year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8ki9hCDZqIU" TargetMode="External"/><Relationship Id="rId1" Type="http://schemas.openxmlformats.org/officeDocument/2006/relationships/hyperlink" Target="https://www.cswaikato.co.nz/services-property-accountants-hamilton/201"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0.bin"/><Relationship Id="rId6" Type="http://schemas.microsoft.com/office/2017/10/relationships/threadedComment" Target="../threadedComments/threadedComment1.xml"/><Relationship Id="rId5" Type="http://schemas.openxmlformats.org/officeDocument/2006/relationships/comments" Target="../comments8.x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microsoft.com/office/2017/10/relationships/threadedComment" Target="../threadedComments/threadedComment2.xml"/><Relationship Id="rId5" Type="http://schemas.openxmlformats.org/officeDocument/2006/relationships/comments" Target="../comments9.xml"/><Relationship Id="rId4" Type="http://schemas.openxmlformats.org/officeDocument/2006/relationships/vmlDrawing" Target="../drawings/vmlDrawing1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2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microsoft.com/office/2017/10/relationships/threadedComment" Target="../threadedComments/threadedComment4.xml"/><Relationship Id="rId5" Type="http://schemas.openxmlformats.org/officeDocument/2006/relationships/comments" Target="../comments11.xml"/><Relationship Id="rId4" Type="http://schemas.openxmlformats.org/officeDocument/2006/relationships/vmlDrawing" Target="../drawings/vmlDrawing2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14.bin"/><Relationship Id="rId6" Type="http://schemas.microsoft.com/office/2017/10/relationships/threadedComment" Target="../threadedComments/threadedComment5.xml"/><Relationship Id="rId5" Type="http://schemas.openxmlformats.org/officeDocument/2006/relationships/comments" Target="../comments12.xml"/><Relationship Id="rId4" Type="http://schemas.openxmlformats.org/officeDocument/2006/relationships/vmlDrawing" Target="../drawings/vmlDrawing24.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7.xml"/><Relationship Id="rId1" Type="http://schemas.openxmlformats.org/officeDocument/2006/relationships/printerSettings" Target="../printerSettings/printerSettings15.bin"/><Relationship Id="rId6" Type="http://schemas.microsoft.com/office/2017/10/relationships/threadedComment" Target="../threadedComments/threadedComment6.xml"/><Relationship Id="rId5" Type="http://schemas.openxmlformats.org/officeDocument/2006/relationships/comments" Target="../comments13.xml"/><Relationship Id="rId4" Type="http://schemas.openxmlformats.org/officeDocument/2006/relationships/vmlDrawing" Target="../drawings/vmlDrawing2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8.xml"/><Relationship Id="rId1" Type="http://schemas.openxmlformats.org/officeDocument/2006/relationships/printerSettings" Target="../printerSettings/printerSettings16.bin"/><Relationship Id="rId6" Type="http://schemas.microsoft.com/office/2017/10/relationships/threadedComment" Target="../threadedComments/threadedComment7.xml"/><Relationship Id="rId5" Type="http://schemas.openxmlformats.org/officeDocument/2006/relationships/comments" Target="../comments14.xml"/><Relationship Id="rId4" Type="http://schemas.openxmlformats.org/officeDocument/2006/relationships/vmlDrawing" Target="../drawings/vmlDrawing28.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9.xml"/><Relationship Id="rId1" Type="http://schemas.openxmlformats.org/officeDocument/2006/relationships/printerSettings" Target="../printerSettings/printerSettings17.bin"/><Relationship Id="rId6" Type="http://schemas.microsoft.com/office/2017/10/relationships/threadedComment" Target="../threadedComments/threadedComment8.xml"/><Relationship Id="rId5" Type="http://schemas.openxmlformats.org/officeDocument/2006/relationships/comments" Target="../comments15.xml"/><Relationship Id="rId4" Type="http://schemas.openxmlformats.org/officeDocument/2006/relationships/vmlDrawing" Target="../drawings/vmlDrawing30.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0.xml"/><Relationship Id="rId1" Type="http://schemas.openxmlformats.org/officeDocument/2006/relationships/printerSettings" Target="../printerSettings/printerSettings18.bin"/><Relationship Id="rId6" Type="http://schemas.microsoft.com/office/2017/10/relationships/threadedComment" Target="../threadedComments/threadedComment9.xml"/><Relationship Id="rId5" Type="http://schemas.openxmlformats.org/officeDocument/2006/relationships/comments" Target="../comments16.xml"/><Relationship Id="rId4" Type="http://schemas.openxmlformats.org/officeDocument/2006/relationships/vmlDrawing" Target="../drawings/vmlDrawing3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hyperlink" Target="https://cswaikato.co.nz/index.php/latest-news-accounting-hamilton/accountants-hamilton-auckland/213" TargetMode="External"/><Relationship Id="rId1" Type="http://schemas.openxmlformats.org/officeDocument/2006/relationships/hyperlink" Target="https://www.facebook.com/thepropertyaccountant/videos/38440622212186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34"/>
  <sheetViews>
    <sheetView zoomScaleNormal="100" workbookViewId="0">
      <selection activeCell="O10" sqref="O10"/>
    </sheetView>
  </sheetViews>
  <sheetFormatPr defaultRowHeight="14.4" x14ac:dyDescent="0.3"/>
  <cols>
    <col min="1" max="1" width="27.44140625" style="23" customWidth="1"/>
    <col min="2" max="3" width="11.109375" style="23" customWidth="1"/>
    <col min="4" max="256" width="9.109375" style="23"/>
    <col min="257" max="257" width="27.44140625" style="23" customWidth="1"/>
    <col min="258" max="259" width="11.109375" style="23" customWidth="1"/>
    <col min="260" max="512" width="9.109375" style="23"/>
    <col min="513" max="513" width="27.44140625" style="23" customWidth="1"/>
    <col min="514" max="515" width="11.109375" style="23" customWidth="1"/>
    <col min="516" max="768" width="9.109375" style="23"/>
    <col min="769" max="769" width="27.44140625" style="23" customWidth="1"/>
    <col min="770" max="771" width="11.109375" style="23" customWidth="1"/>
    <col min="772" max="1024" width="9.109375" style="23"/>
    <col min="1025" max="1025" width="27.44140625" style="23" customWidth="1"/>
    <col min="1026" max="1027" width="11.109375" style="23" customWidth="1"/>
    <col min="1028" max="1280" width="9.109375" style="23"/>
    <col min="1281" max="1281" width="27.44140625" style="23" customWidth="1"/>
    <col min="1282" max="1283" width="11.109375" style="23" customWidth="1"/>
    <col min="1284" max="1536" width="9.109375" style="23"/>
    <col min="1537" max="1537" width="27.44140625" style="23" customWidth="1"/>
    <col min="1538" max="1539" width="11.109375" style="23" customWidth="1"/>
    <col min="1540" max="1792" width="9.109375" style="23"/>
    <col min="1793" max="1793" width="27.44140625" style="23" customWidth="1"/>
    <col min="1794" max="1795" width="11.109375" style="23" customWidth="1"/>
    <col min="1796" max="2048" width="9.109375" style="23"/>
    <col min="2049" max="2049" width="27.44140625" style="23" customWidth="1"/>
    <col min="2050" max="2051" width="11.109375" style="23" customWidth="1"/>
    <col min="2052" max="2304" width="9.109375" style="23"/>
    <col min="2305" max="2305" width="27.44140625" style="23" customWidth="1"/>
    <col min="2306" max="2307" width="11.109375" style="23" customWidth="1"/>
    <col min="2308" max="2560" width="9.109375" style="23"/>
    <col min="2561" max="2561" width="27.44140625" style="23" customWidth="1"/>
    <col min="2562" max="2563" width="11.109375" style="23" customWidth="1"/>
    <col min="2564" max="2816" width="9.109375" style="23"/>
    <col min="2817" max="2817" width="27.44140625" style="23" customWidth="1"/>
    <col min="2818" max="2819" width="11.109375" style="23" customWidth="1"/>
    <col min="2820" max="3072" width="9.109375" style="23"/>
    <col min="3073" max="3073" width="27.44140625" style="23" customWidth="1"/>
    <col min="3074" max="3075" width="11.109375" style="23" customWidth="1"/>
    <col min="3076" max="3328" width="9.109375" style="23"/>
    <col min="3329" max="3329" width="27.44140625" style="23" customWidth="1"/>
    <col min="3330" max="3331" width="11.109375" style="23" customWidth="1"/>
    <col min="3332" max="3584" width="9.109375" style="23"/>
    <col min="3585" max="3585" width="27.44140625" style="23" customWidth="1"/>
    <col min="3586" max="3587" width="11.109375" style="23" customWidth="1"/>
    <col min="3588" max="3840" width="9.109375" style="23"/>
    <col min="3841" max="3841" width="27.44140625" style="23" customWidth="1"/>
    <col min="3842" max="3843" width="11.109375" style="23" customWidth="1"/>
    <col min="3844" max="4096" width="9.109375" style="23"/>
    <col min="4097" max="4097" width="27.44140625" style="23" customWidth="1"/>
    <col min="4098" max="4099" width="11.109375" style="23" customWidth="1"/>
    <col min="4100" max="4352" width="9.109375" style="23"/>
    <col min="4353" max="4353" width="27.44140625" style="23" customWidth="1"/>
    <col min="4354" max="4355" width="11.109375" style="23" customWidth="1"/>
    <col min="4356" max="4608" width="9.109375" style="23"/>
    <col min="4609" max="4609" width="27.44140625" style="23" customWidth="1"/>
    <col min="4610" max="4611" width="11.109375" style="23" customWidth="1"/>
    <col min="4612" max="4864" width="9.109375" style="23"/>
    <col min="4865" max="4865" width="27.44140625" style="23" customWidth="1"/>
    <col min="4866" max="4867" width="11.109375" style="23" customWidth="1"/>
    <col min="4868" max="5120" width="9.109375" style="23"/>
    <col min="5121" max="5121" width="27.44140625" style="23" customWidth="1"/>
    <col min="5122" max="5123" width="11.109375" style="23" customWidth="1"/>
    <col min="5124" max="5376" width="9.109375" style="23"/>
    <col min="5377" max="5377" width="27.44140625" style="23" customWidth="1"/>
    <col min="5378" max="5379" width="11.109375" style="23" customWidth="1"/>
    <col min="5380" max="5632" width="9.109375" style="23"/>
    <col min="5633" max="5633" width="27.44140625" style="23" customWidth="1"/>
    <col min="5634" max="5635" width="11.109375" style="23" customWidth="1"/>
    <col min="5636" max="5888" width="9.109375" style="23"/>
    <col min="5889" max="5889" width="27.44140625" style="23" customWidth="1"/>
    <col min="5890" max="5891" width="11.109375" style="23" customWidth="1"/>
    <col min="5892" max="6144" width="9.109375" style="23"/>
    <col min="6145" max="6145" width="27.44140625" style="23" customWidth="1"/>
    <col min="6146" max="6147" width="11.109375" style="23" customWidth="1"/>
    <col min="6148" max="6400" width="9.109375" style="23"/>
    <col min="6401" max="6401" width="27.44140625" style="23" customWidth="1"/>
    <col min="6402" max="6403" width="11.109375" style="23" customWidth="1"/>
    <col min="6404" max="6656" width="9.109375" style="23"/>
    <col min="6657" max="6657" width="27.44140625" style="23" customWidth="1"/>
    <col min="6658" max="6659" width="11.109375" style="23" customWidth="1"/>
    <col min="6660" max="6912" width="9.109375" style="23"/>
    <col min="6913" max="6913" width="27.44140625" style="23" customWidth="1"/>
    <col min="6914" max="6915" width="11.109375" style="23" customWidth="1"/>
    <col min="6916" max="7168" width="9.109375" style="23"/>
    <col min="7169" max="7169" width="27.44140625" style="23" customWidth="1"/>
    <col min="7170" max="7171" width="11.109375" style="23" customWidth="1"/>
    <col min="7172" max="7424" width="9.109375" style="23"/>
    <col min="7425" max="7425" width="27.44140625" style="23" customWidth="1"/>
    <col min="7426" max="7427" width="11.109375" style="23" customWidth="1"/>
    <col min="7428" max="7680" width="9.109375" style="23"/>
    <col min="7681" max="7681" width="27.44140625" style="23" customWidth="1"/>
    <col min="7682" max="7683" width="11.109375" style="23" customWidth="1"/>
    <col min="7684" max="7936" width="9.109375" style="23"/>
    <col min="7937" max="7937" width="27.44140625" style="23" customWidth="1"/>
    <col min="7938" max="7939" width="11.109375" style="23" customWidth="1"/>
    <col min="7940" max="8192" width="9.109375" style="23"/>
    <col min="8193" max="8193" width="27.44140625" style="23" customWidth="1"/>
    <col min="8194" max="8195" width="11.109375" style="23" customWidth="1"/>
    <col min="8196" max="8448" width="9.109375" style="23"/>
    <col min="8449" max="8449" width="27.44140625" style="23" customWidth="1"/>
    <col min="8450" max="8451" width="11.109375" style="23" customWidth="1"/>
    <col min="8452" max="8704" width="9.109375" style="23"/>
    <col min="8705" max="8705" width="27.44140625" style="23" customWidth="1"/>
    <col min="8706" max="8707" width="11.109375" style="23" customWidth="1"/>
    <col min="8708" max="8960" width="9.109375" style="23"/>
    <col min="8961" max="8961" width="27.44140625" style="23" customWidth="1"/>
    <col min="8962" max="8963" width="11.109375" style="23" customWidth="1"/>
    <col min="8964" max="9216" width="9.109375" style="23"/>
    <col min="9217" max="9217" width="27.44140625" style="23" customWidth="1"/>
    <col min="9218" max="9219" width="11.109375" style="23" customWidth="1"/>
    <col min="9220" max="9472" width="9.109375" style="23"/>
    <col min="9473" max="9473" width="27.44140625" style="23" customWidth="1"/>
    <col min="9474" max="9475" width="11.109375" style="23" customWidth="1"/>
    <col min="9476" max="9728" width="9.109375" style="23"/>
    <col min="9729" max="9729" width="27.44140625" style="23" customWidth="1"/>
    <col min="9730" max="9731" width="11.109375" style="23" customWidth="1"/>
    <col min="9732" max="9984" width="9.109375" style="23"/>
    <col min="9985" max="9985" width="27.44140625" style="23" customWidth="1"/>
    <col min="9986" max="9987" width="11.109375" style="23" customWidth="1"/>
    <col min="9988" max="10240" width="9.109375" style="23"/>
    <col min="10241" max="10241" width="27.44140625" style="23" customWidth="1"/>
    <col min="10242" max="10243" width="11.109375" style="23" customWidth="1"/>
    <col min="10244" max="10496" width="9.109375" style="23"/>
    <col min="10497" max="10497" width="27.44140625" style="23" customWidth="1"/>
    <col min="10498" max="10499" width="11.109375" style="23" customWidth="1"/>
    <col min="10500" max="10752" width="9.109375" style="23"/>
    <col min="10753" max="10753" width="27.44140625" style="23" customWidth="1"/>
    <col min="10754" max="10755" width="11.109375" style="23" customWidth="1"/>
    <col min="10756" max="11008" width="9.109375" style="23"/>
    <col min="11009" max="11009" width="27.44140625" style="23" customWidth="1"/>
    <col min="11010" max="11011" width="11.109375" style="23" customWidth="1"/>
    <col min="11012" max="11264" width="9.109375" style="23"/>
    <col min="11265" max="11265" width="27.44140625" style="23" customWidth="1"/>
    <col min="11266" max="11267" width="11.109375" style="23" customWidth="1"/>
    <col min="11268" max="11520" width="9.109375" style="23"/>
    <col min="11521" max="11521" width="27.44140625" style="23" customWidth="1"/>
    <col min="11522" max="11523" width="11.109375" style="23" customWidth="1"/>
    <col min="11524" max="11776" width="9.109375" style="23"/>
    <col min="11777" max="11777" width="27.44140625" style="23" customWidth="1"/>
    <col min="11778" max="11779" width="11.109375" style="23" customWidth="1"/>
    <col min="11780" max="12032" width="9.109375" style="23"/>
    <col min="12033" max="12033" width="27.44140625" style="23" customWidth="1"/>
    <col min="12034" max="12035" width="11.109375" style="23" customWidth="1"/>
    <col min="12036" max="12288" width="9.109375" style="23"/>
    <col min="12289" max="12289" width="27.44140625" style="23" customWidth="1"/>
    <col min="12290" max="12291" width="11.109375" style="23" customWidth="1"/>
    <col min="12292" max="12544" width="9.109375" style="23"/>
    <col min="12545" max="12545" width="27.44140625" style="23" customWidth="1"/>
    <col min="12546" max="12547" width="11.109375" style="23" customWidth="1"/>
    <col min="12548" max="12800" width="9.109375" style="23"/>
    <col min="12801" max="12801" width="27.44140625" style="23" customWidth="1"/>
    <col min="12802" max="12803" width="11.109375" style="23" customWidth="1"/>
    <col min="12804" max="13056" width="9.109375" style="23"/>
    <col min="13057" max="13057" width="27.44140625" style="23" customWidth="1"/>
    <col min="13058" max="13059" width="11.109375" style="23" customWidth="1"/>
    <col min="13060" max="13312" width="9.109375" style="23"/>
    <col min="13313" max="13313" width="27.44140625" style="23" customWidth="1"/>
    <col min="13314" max="13315" width="11.109375" style="23" customWidth="1"/>
    <col min="13316" max="13568" width="9.109375" style="23"/>
    <col min="13569" max="13569" width="27.44140625" style="23" customWidth="1"/>
    <col min="13570" max="13571" width="11.109375" style="23" customWidth="1"/>
    <col min="13572" max="13824" width="9.109375" style="23"/>
    <col min="13825" max="13825" width="27.44140625" style="23" customWidth="1"/>
    <col min="13826" max="13827" width="11.109375" style="23" customWidth="1"/>
    <col min="13828" max="14080" width="9.109375" style="23"/>
    <col min="14081" max="14081" width="27.44140625" style="23" customWidth="1"/>
    <col min="14082" max="14083" width="11.109375" style="23" customWidth="1"/>
    <col min="14084" max="14336" width="9.109375" style="23"/>
    <col min="14337" max="14337" width="27.44140625" style="23" customWidth="1"/>
    <col min="14338" max="14339" width="11.109375" style="23" customWidth="1"/>
    <col min="14340" max="14592" width="9.109375" style="23"/>
    <col min="14593" max="14593" width="27.44140625" style="23" customWidth="1"/>
    <col min="14594" max="14595" width="11.109375" style="23" customWidth="1"/>
    <col min="14596" max="14848" width="9.109375" style="23"/>
    <col min="14849" max="14849" width="27.44140625" style="23" customWidth="1"/>
    <col min="14850" max="14851" width="11.109375" style="23" customWidth="1"/>
    <col min="14852" max="15104" width="9.109375" style="23"/>
    <col min="15105" max="15105" width="27.44140625" style="23" customWidth="1"/>
    <col min="15106" max="15107" width="11.109375" style="23" customWidth="1"/>
    <col min="15108" max="15360" width="9.109375" style="23"/>
    <col min="15361" max="15361" width="27.44140625" style="23" customWidth="1"/>
    <col min="15362" max="15363" width="11.109375" style="23" customWidth="1"/>
    <col min="15364" max="15616" width="9.109375" style="23"/>
    <col min="15617" max="15617" width="27.44140625" style="23" customWidth="1"/>
    <col min="15618" max="15619" width="11.109375" style="23" customWidth="1"/>
    <col min="15620" max="15872" width="9.109375" style="23"/>
    <col min="15873" max="15873" width="27.44140625" style="23" customWidth="1"/>
    <col min="15874" max="15875" width="11.109375" style="23" customWidth="1"/>
    <col min="15876" max="16128" width="9.109375" style="23"/>
    <col min="16129" max="16129" width="27.44140625" style="23" customWidth="1"/>
    <col min="16130" max="16131" width="11.109375" style="23" customWidth="1"/>
    <col min="16132" max="16384" width="9.109375" style="23"/>
  </cols>
  <sheetData>
    <row r="1" spans="1:17" ht="55.5" customHeight="1" x14ac:dyDescent="0.3">
      <c r="A1" s="190"/>
      <c r="B1" s="190"/>
      <c r="C1" s="190"/>
      <c r="D1" s="190"/>
      <c r="E1" s="190"/>
      <c r="F1" s="190"/>
      <c r="G1" s="190"/>
      <c r="H1" s="49"/>
      <c r="I1" s="49"/>
      <c r="J1" s="49"/>
      <c r="K1" s="49"/>
      <c r="L1" s="49"/>
      <c r="M1" s="49"/>
    </row>
    <row r="2" spans="1:17" x14ac:dyDescent="0.3">
      <c r="A2" s="49"/>
      <c r="B2" s="49"/>
      <c r="C2" s="49"/>
      <c r="D2" s="49"/>
      <c r="E2" s="49"/>
      <c r="F2" s="49"/>
      <c r="G2" s="49"/>
      <c r="H2" s="49"/>
      <c r="I2" s="49"/>
      <c r="J2" s="49"/>
      <c r="K2" s="49"/>
      <c r="L2" s="49"/>
      <c r="M2" s="49"/>
    </row>
    <row r="3" spans="1:17" x14ac:dyDescent="0.3">
      <c r="A3" s="50"/>
      <c r="B3" s="50"/>
      <c r="C3" s="51"/>
      <c r="D3" s="51"/>
      <c r="E3" s="51"/>
      <c r="F3" s="51">
        <v>2021</v>
      </c>
      <c r="G3" s="51">
        <v>2022</v>
      </c>
      <c r="H3" s="51">
        <v>2023</v>
      </c>
      <c r="I3" s="51">
        <v>2024</v>
      </c>
      <c r="J3" s="51">
        <v>2025</v>
      </c>
      <c r="K3" s="51">
        <v>2026</v>
      </c>
      <c r="L3" s="51">
        <v>2027</v>
      </c>
      <c r="M3" s="51">
        <v>2028</v>
      </c>
      <c r="N3" s="51">
        <v>2029</v>
      </c>
      <c r="O3" s="51">
        <v>2030</v>
      </c>
      <c r="P3" s="51">
        <v>2031</v>
      </c>
    </row>
    <row r="4" spans="1:17" x14ac:dyDescent="0.3">
      <c r="A4" s="49" t="s">
        <v>37</v>
      </c>
      <c r="B4" s="49"/>
      <c r="C4" s="42"/>
      <c r="D4" s="43"/>
      <c r="E4" s="43"/>
      <c r="F4" s="43">
        <v>0</v>
      </c>
      <c r="G4" s="43">
        <v>0</v>
      </c>
      <c r="H4" s="43">
        <v>0</v>
      </c>
      <c r="I4" s="43">
        <v>2.5000000000000001E-2</v>
      </c>
      <c r="J4" s="43">
        <v>0.05</v>
      </c>
      <c r="K4" s="43">
        <v>7.0000000000000007E-2</v>
      </c>
      <c r="L4" s="43">
        <v>0.09</v>
      </c>
      <c r="M4" s="43">
        <v>0.11</v>
      </c>
      <c r="N4" s="43">
        <v>0.15</v>
      </c>
      <c r="O4" s="43">
        <v>0.1</v>
      </c>
      <c r="P4" s="43"/>
    </row>
    <row r="5" spans="1:17" x14ac:dyDescent="0.3">
      <c r="A5" s="49"/>
      <c r="B5" s="49"/>
      <c r="C5" s="42"/>
      <c r="D5" s="42"/>
      <c r="E5" s="42"/>
      <c r="F5" s="42"/>
      <c r="G5" s="42"/>
      <c r="H5" s="42"/>
      <c r="I5" s="42"/>
      <c r="J5" s="42"/>
      <c r="K5" s="42"/>
      <c r="L5" s="42"/>
      <c r="M5" s="42"/>
      <c r="N5" s="42"/>
      <c r="O5" s="42"/>
      <c r="P5" s="42"/>
    </row>
    <row r="6" spans="1:17" x14ac:dyDescent="0.3">
      <c r="A6" s="49" t="s">
        <v>38</v>
      </c>
      <c r="B6" s="49"/>
      <c r="C6" s="42"/>
      <c r="D6" s="43"/>
      <c r="E6" s="43"/>
      <c r="F6" s="43">
        <v>0.03</v>
      </c>
      <c r="G6" s="43">
        <v>0.03</v>
      </c>
      <c r="H6" s="43">
        <v>0.03</v>
      </c>
      <c r="I6" s="43">
        <v>0.03</v>
      </c>
      <c r="J6" s="43">
        <v>0.03</v>
      </c>
      <c r="K6" s="43">
        <v>0.03</v>
      </c>
      <c r="L6" s="43">
        <v>0.03</v>
      </c>
      <c r="M6" s="43">
        <v>0.03</v>
      </c>
      <c r="N6" s="43">
        <v>0.03</v>
      </c>
      <c r="O6" s="43">
        <v>0.03</v>
      </c>
      <c r="P6" s="43"/>
      <c r="Q6" s="97" t="s">
        <v>91</v>
      </c>
    </row>
    <row r="7" spans="1:17" x14ac:dyDescent="0.3">
      <c r="A7" s="49"/>
      <c r="B7" s="49"/>
      <c r="C7" s="42"/>
      <c r="D7" s="42"/>
      <c r="E7" s="42"/>
      <c r="F7" s="42"/>
      <c r="G7" s="42"/>
      <c r="H7" s="42"/>
      <c r="I7" s="42"/>
      <c r="J7" s="42"/>
      <c r="K7" s="42"/>
      <c r="L7" s="42"/>
      <c r="M7" s="42"/>
      <c r="N7" s="42"/>
      <c r="O7" s="42"/>
      <c r="P7" s="42"/>
    </row>
    <row r="8" spans="1:17" x14ac:dyDescent="0.3">
      <c r="A8" s="52" t="s">
        <v>39</v>
      </c>
      <c r="B8" s="49"/>
      <c r="C8" s="42"/>
      <c r="D8" s="43"/>
      <c r="E8" s="43"/>
      <c r="F8" s="43">
        <v>0.03</v>
      </c>
      <c r="G8" s="43">
        <v>0.03</v>
      </c>
      <c r="H8" s="43">
        <v>0.03</v>
      </c>
      <c r="I8" s="43">
        <v>0.03</v>
      </c>
      <c r="J8" s="43">
        <v>0.03</v>
      </c>
      <c r="K8" s="43">
        <v>0.03</v>
      </c>
      <c r="L8" s="43">
        <v>0.03</v>
      </c>
      <c r="M8" s="43">
        <v>0.03</v>
      </c>
      <c r="N8" s="43">
        <v>0.03</v>
      </c>
      <c r="O8" s="43">
        <v>0.03</v>
      </c>
      <c r="P8" s="43"/>
    </row>
    <row r="9" spans="1:17" x14ac:dyDescent="0.3">
      <c r="A9" s="49"/>
      <c r="B9" s="49"/>
      <c r="C9" s="42"/>
      <c r="D9" s="42"/>
      <c r="E9" s="42"/>
      <c r="F9" s="42"/>
      <c r="G9" s="42"/>
      <c r="H9" s="42"/>
      <c r="I9" s="42"/>
      <c r="J9" s="42"/>
      <c r="K9" s="42"/>
      <c r="L9" s="42"/>
      <c r="M9" s="42"/>
      <c r="N9" s="42"/>
      <c r="O9" s="42"/>
      <c r="P9" s="42"/>
    </row>
    <row r="10" spans="1:17" x14ac:dyDescent="0.3">
      <c r="A10" s="49" t="s">
        <v>40</v>
      </c>
      <c r="B10" s="49" t="s">
        <v>41</v>
      </c>
      <c r="C10" s="44"/>
      <c r="D10" s="44"/>
      <c r="E10" s="44"/>
      <c r="F10" s="44">
        <v>2.29E-2</v>
      </c>
      <c r="G10" s="44">
        <v>2.4E-2</v>
      </c>
      <c r="H10" s="44">
        <v>2.5000000000000001E-2</v>
      </c>
      <c r="I10" s="44">
        <v>2.75E-2</v>
      </c>
      <c r="J10" s="44">
        <v>0.03</v>
      </c>
      <c r="K10" s="44">
        <v>3.2500000000000001E-2</v>
      </c>
      <c r="L10" s="44">
        <v>3.5000000000000003E-2</v>
      </c>
      <c r="M10" s="44">
        <v>3.7499999999999999E-2</v>
      </c>
      <c r="N10" s="44">
        <v>0.04</v>
      </c>
      <c r="O10" s="44">
        <v>4.2500000000000003E-2</v>
      </c>
      <c r="P10" s="44"/>
      <c r="Q10" s="94" t="s">
        <v>82</v>
      </c>
    </row>
    <row r="11" spans="1:17" x14ac:dyDescent="0.3">
      <c r="A11" s="49"/>
      <c r="B11" s="49" t="s">
        <v>42</v>
      </c>
      <c r="C11" s="44"/>
      <c r="D11" s="44"/>
      <c r="E11" s="44"/>
      <c r="F11" s="44">
        <v>2.9899999999999999E-2</v>
      </c>
      <c r="G11" s="44">
        <v>2.9899999999999999E-2</v>
      </c>
      <c r="H11" s="44">
        <v>2.9899999999999999E-2</v>
      </c>
      <c r="I11" s="44">
        <v>2.9899999999999999E-2</v>
      </c>
      <c r="J11" s="44">
        <v>2.9899999999999999E-2</v>
      </c>
      <c r="K11" s="44">
        <v>0.04</v>
      </c>
      <c r="L11" s="44">
        <v>0.04</v>
      </c>
      <c r="M11" s="44">
        <v>0.04</v>
      </c>
      <c r="N11" s="44">
        <v>0.04</v>
      </c>
      <c r="O11" s="44">
        <v>0.04</v>
      </c>
      <c r="P11" s="44"/>
      <c r="Q11" s="94" t="s">
        <v>83</v>
      </c>
    </row>
    <row r="12" spans="1:17" x14ac:dyDescent="0.3">
      <c r="A12" s="49"/>
      <c r="B12" s="49"/>
      <c r="C12" s="42"/>
      <c r="D12" s="42"/>
      <c r="E12" s="42"/>
      <c r="F12" s="42"/>
      <c r="G12" s="42"/>
      <c r="H12" s="42"/>
      <c r="I12" s="42"/>
      <c r="J12" s="42"/>
      <c r="K12" s="42"/>
      <c r="L12" s="42"/>
      <c r="M12" s="42"/>
      <c r="N12" s="42"/>
      <c r="O12" s="42"/>
      <c r="P12" s="42"/>
      <c r="Q12" s="94" t="s">
        <v>84</v>
      </c>
    </row>
    <row r="13" spans="1:17" x14ac:dyDescent="0.3">
      <c r="A13" s="164" t="s">
        <v>119</v>
      </c>
      <c r="B13" s="49"/>
      <c r="C13" s="44">
        <v>0.08</v>
      </c>
      <c r="D13" s="42"/>
      <c r="E13" s="42"/>
      <c r="F13" s="42"/>
      <c r="G13" s="42"/>
      <c r="H13" s="42"/>
      <c r="I13" s="42"/>
      <c r="J13" s="42"/>
      <c r="K13" s="42"/>
      <c r="L13" s="42"/>
      <c r="M13" s="42"/>
      <c r="N13" s="42"/>
      <c r="O13" s="42"/>
      <c r="P13" s="42"/>
    </row>
    <row r="14" spans="1:17" x14ac:dyDescent="0.3">
      <c r="A14" s="49"/>
      <c r="B14" s="49"/>
    </row>
    <row r="15" spans="1:17" x14ac:dyDescent="0.3">
      <c r="A15" s="164"/>
      <c r="B15" s="49"/>
    </row>
    <row r="16" spans="1:17" x14ac:dyDescent="0.3">
      <c r="A16" s="49"/>
      <c r="B16" s="49"/>
    </row>
    <row r="17" spans="1:4" x14ac:dyDescent="0.3">
      <c r="A17" s="53" t="s">
        <v>52</v>
      </c>
      <c r="B17" s="177" t="s">
        <v>143</v>
      </c>
    </row>
    <row r="18" spans="1:4" x14ac:dyDescent="0.3">
      <c r="A18" s="49"/>
      <c r="B18" s="177" t="s">
        <v>144</v>
      </c>
    </row>
    <row r="20" spans="1:4" x14ac:dyDescent="0.3">
      <c r="A20" s="173" t="s">
        <v>132</v>
      </c>
      <c r="B20" s="176" t="s">
        <v>142</v>
      </c>
    </row>
    <row r="23" spans="1:4" x14ac:dyDescent="0.3">
      <c r="A23" s="174" t="s">
        <v>133</v>
      </c>
      <c r="B23" s="174" t="s">
        <v>134</v>
      </c>
    </row>
    <row r="24" spans="1:4" x14ac:dyDescent="0.3">
      <c r="B24" s="174" t="s">
        <v>135</v>
      </c>
    </row>
    <row r="25" spans="1:4" x14ac:dyDescent="0.3">
      <c r="B25" s="174" t="s">
        <v>136</v>
      </c>
    </row>
    <row r="26" spans="1:4" x14ac:dyDescent="0.3">
      <c r="B26" s="167" t="s">
        <v>137</v>
      </c>
    </row>
    <row r="27" spans="1:4" x14ac:dyDescent="0.3">
      <c r="B27" s="174"/>
    </row>
    <row r="28" spans="1:4" x14ac:dyDescent="0.3">
      <c r="A28" s="173" t="s">
        <v>125</v>
      </c>
      <c r="B28" s="174" t="s">
        <v>138</v>
      </c>
      <c r="D28" s="167" t="s">
        <v>140</v>
      </c>
    </row>
    <row r="29" spans="1:4" x14ac:dyDescent="0.3">
      <c r="B29" s="23">
        <v>1</v>
      </c>
      <c r="C29" s="174" t="s">
        <v>126</v>
      </c>
    </row>
    <row r="30" spans="1:4" x14ac:dyDescent="0.3">
      <c r="B30" s="23">
        <v>2</v>
      </c>
      <c r="C30" s="174" t="s">
        <v>127</v>
      </c>
    </row>
    <row r="31" spans="1:4" x14ac:dyDescent="0.3">
      <c r="B31" s="23">
        <v>3</v>
      </c>
      <c r="C31" s="174" t="s">
        <v>129</v>
      </c>
    </row>
    <row r="32" spans="1:4" x14ac:dyDescent="0.3">
      <c r="B32" s="23">
        <v>4</v>
      </c>
      <c r="C32" s="174" t="s">
        <v>128</v>
      </c>
    </row>
    <row r="33" spans="2:3" x14ac:dyDescent="0.3">
      <c r="B33" s="23">
        <v>5</v>
      </c>
      <c r="C33" s="174" t="s">
        <v>130</v>
      </c>
    </row>
    <row r="34" spans="2:3" x14ac:dyDescent="0.3">
      <c r="B34" s="23">
        <v>6</v>
      </c>
      <c r="C34" s="174" t="s">
        <v>131</v>
      </c>
    </row>
  </sheetData>
  <sheetProtection algorithmName="SHA-512" hashValue="KhvSbzZzLqnU+paMD22rOkgOWS6BJhmR7Jqb6h89DwPrC1SrNCRq3F7PUr7FrpnvcsdW2XiWC/jdFAV/SOPdtQ==" saltValue="sxiKv6lX6cc0MCnCL23MNw==" spinCount="100000" sheet="1" selectLockedCells="1"/>
  <mergeCells count="1">
    <mergeCell ref="A1:G1"/>
  </mergeCells>
  <hyperlinks>
    <hyperlink ref="B26" r:id="rId1" xr:uid="{C2F0E5F1-A118-4AB0-A4B1-AAAE507A41C5}"/>
    <hyperlink ref="D28" r:id="rId2" xr:uid="{542CBB86-F0A8-4617-A2E1-1F37CA076661}"/>
  </hyperlinks>
  <pageMargins left="0.7" right="0.7" top="0.75" bottom="0.75" header="0.3" footer="0.3"/>
  <pageSetup paperSize="9" scale="94" orientation="landscape"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pageSetUpPr fitToPage="1"/>
  </sheetPr>
  <dimension ref="A1:R93"/>
  <sheetViews>
    <sheetView zoomScaleNormal="100" workbookViewId="0">
      <pane xSplit="7" ySplit="18" topLeftCell="H40" activePane="bottomRight" state="frozen"/>
      <selection pane="topRight" activeCell="H1" sqref="H1"/>
      <selection pane="bottomLeft" activeCell="A19" sqref="A19"/>
      <selection pane="bottomRight" activeCell="H8" sqref="H8"/>
    </sheetView>
  </sheetViews>
  <sheetFormatPr defaultColWidth="9.109375" defaultRowHeight="13.2" x14ac:dyDescent="0.25"/>
  <cols>
    <col min="1" max="1" width="3.5546875" style="54" customWidth="1"/>
    <col min="2" max="2" width="20" style="54" customWidth="1"/>
    <col min="3" max="3" width="12.88671875" style="54" customWidth="1"/>
    <col min="4" max="4" width="13" style="54" bestFit="1" customWidth="1"/>
    <col min="5" max="5" width="13.33203125" style="54" customWidth="1"/>
    <col min="6" max="6" width="6.109375" style="54" customWidth="1"/>
    <col min="7" max="7" width="16" style="54" bestFit="1" customWidth="1"/>
    <col min="8" max="8" width="11.88671875" style="54" customWidth="1"/>
    <col min="9" max="10" width="11.6640625" style="54" customWidth="1"/>
    <col min="11" max="11" width="11.44140625" style="54" customWidth="1"/>
    <col min="12" max="12" width="11.88671875" style="54" customWidth="1"/>
    <col min="13" max="13" width="12.44140625" style="54" customWidth="1"/>
    <col min="14" max="14" width="12" style="54" customWidth="1"/>
    <col min="15" max="16" width="11.6640625" style="54" customWidth="1"/>
    <col min="17" max="16384" width="9.109375" style="54"/>
  </cols>
  <sheetData>
    <row r="1" spans="1:18" ht="55.5" customHeight="1" x14ac:dyDescent="0.25">
      <c r="A1" s="190"/>
      <c r="B1" s="190"/>
      <c r="C1" s="190"/>
      <c r="D1" s="190"/>
      <c r="E1" s="190"/>
      <c r="F1" s="190"/>
      <c r="G1" s="190"/>
      <c r="H1" s="56"/>
    </row>
    <row r="2" spans="1:18" ht="22.8" x14ac:dyDescent="0.4">
      <c r="A2" s="152"/>
      <c r="B2" s="153" t="s">
        <v>24</v>
      </c>
      <c r="C2" s="152"/>
      <c r="D2" s="152"/>
      <c r="E2" s="196"/>
      <c r="F2" s="197"/>
      <c r="G2" s="197"/>
      <c r="H2" s="197"/>
      <c r="K2" s="154">
        <v>5</v>
      </c>
      <c r="P2" s="154">
        <v>10</v>
      </c>
      <c r="Q2" s="56"/>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56"/>
      <c r="B4" s="56"/>
      <c r="C4" s="56"/>
      <c r="D4" s="56"/>
      <c r="E4" s="56"/>
      <c r="F4" s="56"/>
      <c r="G4" s="56"/>
    </row>
    <row r="5" spans="1:18" ht="1.5" customHeight="1" x14ac:dyDescent="0.25">
      <c r="A5" s="56"/>
      <c r="B5" s="57"/>
      <c r="C5" s="56"/>
      <c r="D5" s="58"/>
      <c r="E5" s="56"/>
      <c r="F5" s="56"/>
      <c r="G5" s="56"/>
    </row>
    <row r="6" spans="1:18" ht="15" x14ac:dyDescent="0.25">
      <c r="A6" s="57"/>
      <c r="B6" s="57" t="s">
        <v>21</v>
      </c>
      <c r="C6" s="57"/>
      <c r="D6" s="130"/>
      <c r="E6" s="131"/>
      <c r="F6" s="57"/>
      <c r="G6" s="132">
        <f>'p1 one year'!D6*(1+'Data to enter'!F4)</f>
        <v>500000</v>
      </c>
      <c r="H6" s="132">
        <f>G6*(1+'Data to enter'!G4)</f>
        <v>500000</v>
      </c>
      <c r="I6" s="132">
        <f>H6*(1+'Data to enter'!H4)</f>
        <v>500000</v>
      </c>
      <c r="J6" s="132">
        <f>I6*(1+'Data to enter'!I4)</f>
        <v>512499.99999999994</v>
      </c>
      <c r="K6" s="132">
        <f>J6*(1+'Data to enter'!J4)</f>
        <v>538125</v>
      </c>
      <c r="L6" s="132">
        <f>K6*(1+'Data to enter'!K4)</f>
        <v>575793.75</v>
      </c>
      <c r="M6" s="132">
        <f>L6*(1+'Data to enter'!L4)</f>
        <v>627615.1875</v>
      </c>
      <c r="N6" s="132">
        <f>M6*(1+'Data to enter'!M4)</f>
        <v>696652.85812500003</v>
      </c>
      <c r="O6" s="132">
        <f>N6*(1+'Data to enter'!N4)</f>
        <v>801150.78684374993</v>
      </c>
      <c r="P6" s="132">
        <f>O6*(1+'Data to enter'!O4)</f>
        <v>881265.86552812497</v>
      </c>
    </row>
    <row r="7" spans="1:18" ht="15" x14ac:dyDescent="0.25">
      <c r="A7" s="57"/>
      <c r="B7" s="57"/>
      <c r="C7" s="57"/>
      <c r="D7" s="131"/>
      <c r="E7" s="130"/>
      <c r="F7" s="57"/>
      <c r="G7" s="111"/>
      <c r="H7" s="95"/>
      <c r="I7" s="95"/>
      <c r="J7" s="95"/>
      <c r="K7" s="95"/>
      <c r="L7" s="95"/>
      <c r="M7" s="95"/>
      <c r="N7" s="95"/>
      <c r="O7" s="95"/>
      <c r="P7" s="95"/>
    </row>
    <row r="8" spans="1:18" ht="15" x14ac:dyDescent="0.25">
      <c r="A8" s="57"/>
      <c r="B8" s="57" t="s">
        <v>59</v>
      </c>
      <c r="C8" s="57"/>
      <c r="D8" s="131"/>
      <c r="E8" s="130"/>
      <c r="F8" s="57"/>
      <c r="G8" s="133">
        <f>'p1 one year'!E10</f>
        <v>0</v>
      </c>
      <c r="H8" s="116"/>
      <c r="I8" s="116"/>
      <c r="J8" s="116"/>
      <c r="K8" s="116"/>
      <c r="L8" s="116"/>
      <c r="M8" s="116"/>
      <c r="N8" s="116"/>
      <c r="O8" s="116"/>
      <c r="P8" s="116"/>
      <c r="Q8" s="134"/>
      <c r="R8" s="134">
        <f>SUM(G8:P8)</f>
        <v>0</v>
      </c>
    </row>
    <row r="9" spans="1:18" ht="15" x14ac:dyDescent="0.25">
      <c r="A9" s="57"/>
      <c r="B9" s="57"/>
      <c r="C9" s="57"/>
      <c r="D9" s="131"/>
      <c r="E9" s="131"/>
      <c r="F9" s="57"/>
      <c r="G9" s="111"/>
      <c r="H9" s="95"/>
      <c r="I9" s="95"/>
      <c r="J9" s="95"/>
      <c r="K9" s="95"/>
      <c r="L9" s="95"/>
      <c r="M9" s="95"/>
      <c r="N9" s="95"/>
      <c r="O9" s="95"/>
      <c r="P9" s="95"/>
    </row>
    <row r="10" spans="1:18" ht="15" x14ac:dyDescent="0.25">
      <c r="A10" s="57"/>
      <c r="B10" s="60" t="s">
        <v>9</v>
      </c>
      <c r="C10" s="57"/>
      <c r="D10" s="131"/>
      <c r="E10" s="130"/>
      <c r="F10" s="57"/>
      <c r="G10" s="111">
        <f>'p1 one year'!E12</f>
        <v>500660</v>
      </c>
      <c r="H10" s="111">
        <f>G10-H8</f>
        <v>500660</v>
      </c>
      <c r="I10" s="111">
        <f t="shared" ref="I10:P10" si="0">H10-I8</f>
        <v>500660</v>
      </c>
      <c r="J10" s="111">
        <f t="shared" si="0"/>
        <v>500660</v>
      </c>
      <c r="K10" s="111">
        <f t="shared" si="0"/>
        <v>500660</v>
      </c>
      <c r="L10" s="111">
        <f t="shared" si="0"/>
        <v>500660</v>
      </c>
      <c r="M10" s="111">
        <f t="shared" si="0"/>
        <v>500660</v>
      </c>
      <c r="N10" s="111">
        <f t="shared" si="0"/>
        <v>500660</v>
      </c>
      <c r="O10" s="111">
        <f t="shared" si="0"/>
        <v>500660</v>
      </c>
      <c r="P10" s="111">
        <f t="shared" si="0"/>
        <v>500660</v>
      </c>
    </row>
    <row r="11" spans="1:18" ht="8.25" customHeight="1" x14ac:dyDescent="0.25">
      <c r="A11" s="57"/>
      <c r="B11" s="57"/>
      <c r="C11" s="57"/>
      <c r="D11" s="58"/>
      <c r="E11" s="58"/>
      <c r="F11" s="57"/>
      <c r="G11" s="111"/>
      <c r="H11" s="95"/>
      <c r="I11" s="95"/>
      <c r="J11" s="95"/>
      <c r="K11" s="95"/>
      <c r="L11" s="95"/>
      <c r="M11" s="95"/>
      <c r="N11" s="95"/>
      <c r="O11" s="95"/>
      <c r="P11" s="95"/>
    </row>
    <row r="12" spans="1:18" ht="17.399999999999999" x14ac:dyDescent="0.3">
      <c r="A12" s="57"/>
      <c r="B12" s="61" t="s">
        <v>0</v>
      </c>
      <c r="C12" s="57"/>
      <c r="D12" s="57"/>
      <c r="E12" s="57"/>
      <c r="F12" s="57"/>
      <c r="G12" s="111"/>
      <c r="H12" s="95"/>
      <c r="I12" s="95"/>
      <c r="J12" s="95"/>
      <c r="K12" s="95"/>
      <c r="L12" s="95"/>
      <c r="M12" s="95"/>
      <c r="N12" s="95"/>
      <c r="O12" s="95"/>
      <c r="P12" s="95"/>
    </row>
    <row r="13" spans="1:18" ht="8.25" customHeight="1" x14ac:dyDescent="0.25">
      <c r="A13" s="57"/>
      <c r="B13" s="57"/>
      <c r="C13" s="57"/>
      <c r="D13" s="57"/>
      <c r="E13" s="57"/>
      <c r="F13" s="57"/>
      <c r="G13" s="111"/>
      <c r="H13" s="95"/>
      <c r="I13" s="95"/>
      <c r="J13" s="95"/>
      <c r="K13" s="95"/>
      <c r="L13" s="95"/>
      <c r="M13" s="95"/>
      <c r="N13" s="95"/>
      <c r="O13" s="95"/>
      <c r="P13" s="95"/>
    </row>
    <row r="14" spans="1:18" ht="15" x14ac:dyDescent="0.25">
      <c r="A14" s="57"/>
      <c r="B14" s="57" t="s">
        <v>27</v>
      </c>
      <c r="C14" s="57" t="s">
        <v>25</v>
      </c>
      <c r="D14" s="68">
        <f>'p1 one year'!D16</f>
        <v>51</v>
      </c>
      <c r="E14" s="57"/>
      <c r="F14" s="57"/>
      <c r="G14" s="111">
        <f>D14*D15</f>
        <v>23205</v>
      </c>
      <c r="H14" s="132">
        <f>G14*(1+'Data to enter'!F6)</f>
        <v>23901.15</v>
      </c>
      <c r="I14" s="132">
        <f>H14*(1+'Data to enter'!G6)</f>
        <v>24618.184500000003</v>
      </c>
      <c r="J14" s="132">
        <f>I14*(1+'Data to enter'!H6)</f>
        <v>25356.730035000004</v>
      </c>
      <c r="K14" s="132">
        <f>J14*(1+'Data to enter'!I6)</f>
        <v>26117.431936050005</v>
      </c>
      <c r="L14" s="132">
        <f>K14*(1+'Data to enter'!J6)</f>
        <v>26900.954894131504</v>
      </c>
      <c r="M14" s="132">
        <f>L14*(1+'Data to enter'!K6)</f>
        <v>27707.983540955451</v>
      </c>
      <c r="N14" s="132">
        <f>M14*(1+'Data to enter'!L6)</f>
        <v>28539.223047184114</v>
      </c>
      <c r="O14" s="132">
        <f>N14*(1+'Data to enter'!M6)</f>
        <v>29395.399738599637</v>
      </c>
      <c r="P14" s="132">
        <f>O14*(1+'Data to enter'!N6)</f>
        <v>30277.261730757626</v>
      </c>
    </row>
    <row r="15" spans="1:18" ht="15" x14ac:dyDescent="0.25">
      <c r="A15" s="57"/>
      <c r="B15" s="57"/>
      <c r="C15" s="57" t="s">
        <v>26</v>
      </c>
      <c r="D15" s="135">
        <f>'p1 one year'!D17</f>
        <v>455</v>
      </c>
      <c r="E15" s="57"/>
      <c r="F15" s="57"/>
      <c r="G15" s="57"/>
    </row>
    <row r="16" spans="1:18" ht="15" x14ac:dyDescent="0.25">
      <c r="A16" s="57"/>
      <c r="B16" s="57"/>
      <c r="C16" s="57"/>
      <c r="D16" s="57" t="s">
        <v>11</v>
      </c>
      <c r="E16" s="57"/>
      <c r="F16" s="57"/>
      <c r="G16" s="62">
        <f>G14/G6</f>
        <v>4.641E-2</v>
      </c>
    </row>
    <row r="17" spans="1:16" ht="6.75" customHeight="1" x14ac:dyDescent="0.25">
      <c r="A17" s="57"/>
      <c r="B17" s="57"/>
      <c r="C17" s="57"/>
      <c r="D17" s="57"/>
      <c r="E17" s="57"/>
      <c r="F17" s="57"/>
      <c r="G17" s="57"/>
    </row>
    <row r="18" spans="1:16" ht="24" customHeight="1" x14ac:dyDescent="0.3">
      <c r="A18" s="57"/>
      <c r="B18" s="64" t="s">
        <v>1</v>
      </c>
      <c r="C18" s="65"/>
      <c r="D18" s="57"/>
      <c r="E18" s="57"/>
      <c r="F18" s="57"/>
      <c r="G18" s="57"/>
    </row>
    <row r="19" spans="1:16" ht="15" x14ac:dyDescent="0.25">
      <c r="A19" s="57"/>
      <c r="B19" s="57"/>
      <c r="C19" s="57"/>
      <c r="D19" s="57"/>
      <c r="E19" s="57"/>
      <c r="F19" s="57"/>
      <c r="G19" s="57"/>
    </row>
    <row r="20" spans="1:16" ht="15" x14ac:dyDescent="0.25">
      <c r="A20" s="57"/>
      <c r="B20" s="57" t="s">
        <v>7</v>
      </c>
      <c r="C20" s="57"/>
      <c r="D20" s="57"/>
      <c r="E20" s="136"/>
      <c r="F20" s="136"/>
      <c r="G20" s="137">
        <f>'p1 one year'!G22</f>
        <v>1700</v>
      </c>
      <c r="H20" s="132">
        <f>G20*(1+'Data to enter'!F8)</f>
        <v>1751</v>
      </c>
      <c r="I20" s="132">
        <f>H20*(1+'Data to enter'!G8)</f>
        <v>1803.53</v>
      </c>
      <c r="J20" s="132">
        <f>I20*(1+'Data to enter'!H8)</f>
        <v>1857.6359</v>
      </c>
      <c r="K20" s="132">
        <f>J20*(1+'Data to enter'!I8)</f>
        <v>1913.364977</v>
      </c>
      <c r="L20" s="132">
        <f>K20*(1+'Data to enter'!J8)</f>
        <v>1970.7659263099999</v>
      </c>
      <c r="M20" s="132">
        <f>L20*(1+'Data to enter'!K8)</f>
        <v>2029.8889040992999</v>
      </c>
      <c r="N20" s="132">
        <f>M20*(1+'Data to enter'!L8)</f>
        <v>2090.785571222279</v>
      </c>
      <c r="O20" s="132">
        <f>N20*(1+'Data to enter'!M8)</f>
        <v>2153.5091383589474</v>
      </c>
      <c r="P20" s="132">
        <f>O20*(1+'Data to enter'!N8)</f>
        <v>2218.1144125097157</v>
      </c>
    </row>
    <row r="21" spans="1:16" ht="15" x14ac:dyDescent="0.25">
      <c r="A21" s="57"/>
      <c r="B21" s="57" t="s">
        <v>8</v>
      </c>
      <c r="C21" s="57"/>
      <c r="D21" s="57"/>
      <c r="E21" s="136"/>
      <c r="F21" s="136"/>
      <c r="G21" s="137">
        <f>'p1 one year'!G23</f>
        <v>50</v>
      </c>
      <c r="H21" s="132">
        <f>G21*(1+'Data to enter'!F8)</f>
        <v>51.5</v>
      </c>
      <c r="I21" s="132">
        <f>H21*(1+'Data to enter'!G8)</f>
        <v>53.045000000000002</v>
      </c>
      <c r="J21" s="132">
        <f>I21*(1+'Data to enter'!H8)</f>
        <v>54.63635</v>
      </c>
      <c r="K21" s="132">
        <f>J21*(1+'Data to enter'!I8)</f>
        <v>56.275440500000002</v>
      </c>
      <c r="L21" s="132">
        <f>K21*(1+'Data to enter'!J8)</f>
        <v>57.963703715000001</v>
      </c>
      <c r="M21" s="132">
        <f>L21*(1+'Data to enter'!K8)</f>
        <v>59.702614826450002</v>
      </c>
      <c r="N21" s="132">
        <f>M21*(1+'Data to enter'!L8)</f>
        <v>61.493693271243501</v>
      </c>
      <c r="O21" s="132">
        <f>N21*(1+'Data to enter'!M8)</f>
        <v>63.338504069380811</v>
      </c>
      <c r="P21" s="132">
        <f>O21*(1+'Data to enter'!N8)</f>
        <v>65.238659191462233</v>
      </c>
    </row>
    <row r="22" spans="1:16" ht="15" x14ac:dyDescent="0.25">
      <c r="A22" s="57"/>
      <c r="B22" s="57" t="s">
        <v>14</v>
      </c>
      <c r="C22" s="57"/>
      <c r="D22" s="57"/>
      <c r="E22" s="136"/>
      <c r="F22" s="136"/>
      <c r="G22" s="137">
        <f>'p1 one year'!G24</f>
        <v>1000</v>
      </c>
      <c r="H22" s="132">
        <f>G22*(1+'Data to enter'!F8)</f>
        <v>1030</v>
      </c>
      <c r="I22" s="132">
        <f>H22*(1+'Data to enter'!G8)</f>
        <v>1060.9000000000001</v>
      </c>
      <c r="J22" s="132">
        <f>I22*(1+'Data to enter'!H8)</f>
        <v>1092.7270000000001</v>
      </c>
      <c r="K22" s="132">
        <f>J22*(1+'Data to enter'!I8)</f>
        <v>1125.50881</v>
      </c>
      <c r="L22" s="132">
        <f>K22*(1+'Data to enter'!J8)</f>
        <v>1159.2740743000002</v>
      </c>
      <c r="M22" s="132">
        <f>L22*(1+'Data to enter'!K8)</f>
        <v>1194.0522965290002</v>
      </c>
      <c r="N22" s="132">
        <f>M22*(1+'Data to enter'!L8)</f>
        <v>1229.8738654248702</v>
      </c>
      <c r="O22" s="132">
        <f>N22*(1+'Data to enter'!M8)</f>
        <v>1266.7700813876163</v>
      </c>
      <c r="P22" s="132">
        <f>O22*(1+'Data to enter'!N8)</f>
        <v>1304.7731838292448</v>
      </c>
    </row>
    <row r="23" spans="1:16" ht="15" x14ac:dyDescent="0.25">
      <c r="A23" s="57"/>
      <c r="B23" s="57" t="s">
        <v>2</v>
      </c>
      <c r="C23" s="57"/>
      <c r="D23" s="57"/>
      <c r="E23" s="136"/>
      <c r="F23" s="136"/>
      <c r="G23" s="137">
        <f>'p1 one year'!G25</f>
        <v>2250</v>
      </c>
      <c r="H23" s="132">
        <f>G23*(1+'Data to enter'!F8)</f>
        <v>2317.5</v>
      </c>
      <c r="I23" s="132">
        <f>H23*(1+'Data to enter'!G8)</f>
        <v>2387.0250000000001</v>
      </c>
      <c r="J23" s="132">
        <f>I23*(1+'Data to enter'!H8)</f>
        <v>2458.6357500000004</v>
      </c>
      <c r="K23" s="132">
        <f>J23*(1+'Data to enter'!I8)</f>
        <v>2532.3948225000004</v>
      </c>
      <c r="L23" s="132">
        <f>K23*(1+'Data to enter'!J8)</f>
        <v>2608.3666671750007</v>
      </c>
      <c r="M23" s="132">
        <f>L23*(1+'Data to enter'!K8)</f>
        <v>2686.6176671902508</v>
      </c>
      <c r="N23" s="132">
        <f>M23*(1+'Data to enter'!L8)</f>
        <v>2767.2161972059585</v>
      </c>
      <c r="O23" s="132">
        <f>N23*(1+'Data to enter'!M8)</f>
        <v>2850.2326831221371</v>
      </c>
      <c r="P23" s="132">
        <f>O23*(1+'Data to enter'!N8)</f>
        <v>2935.7396636158014</v>
      </c>
    </row>
    <row r="24" spans="1:16" ht="15" x14ac:dyDescent="0.25">
      <c r="A24" s="57"/>
      <c r="B24" s="57" t="s">
        <v>28</v>
      </c>
      <c r="C24" s="57"/>
      <c r="D24" s="57" t="s">
        <v>29</v>
      </c>
      <c r="E24" s="138"/>
      <c r="F24" s="136"/>
      <c r="G24" s="111">
        <f>(G10/2*'Data to enter'!F10)+('p1 10 year'!G10/2*'Data to enter'!F11)</f>
        <v>13217.423999999999</v>
      </c>
      <c r="H24" s="111">
        <f>(H10/2*'Data to enter'!G10)+('p1 10 year'!H10/2*'Data to enter'!G11)</f>
        <v>13492.787</v>
      </c>
      <c r="I24" s="111">
        <f>(I10/2*'Data to enter'!H10)+('p1 10 year'!I10/2*'Data to enter'!H11)</f>
        <v>13743.117</v>
      </c>
      <c r="J24" s="111">
        <f>(J10/2*'Data to enter'!I10)+('p1 10 year'!J10/2*'Data to enter'!I11)</f>
        <v>14368.941999999999</v>
      </c>
      <c r="K24" s="139">
        <f>(K10/2*'Data to enter'!J10)+('p1 10 year'!K10/2*'Data to enter'!J11)</f>
        <v>14994.767</v>
      </c>
      <c r="L24" s="139">
        <f>(L10/2*'Data to enter'!K10)+('p1 10 year'!L10/2*'Data to enter'!K11)</f>
        <v>18148.925000000003</v>
      </c>
      <c r="M24" s="111">
        <f>(M10/2*'Data to enter'!L10)+('p1 10 year'!M10/2*'Data to enter'!L11)</f>
        <v>18774.75</v>
      </c>
      <c r="N24" s="111">
        <f>(N10/2*'Data to enter'!M10)+('p1 10 year'!N10/2*'Data to enter'!M11)</f>
        <v>19400.575000000001</v>
      </c>
      <c r="O24" s="111">
        <f>(O10/2*'Data to enter'!N10)+('p1 10 year'!O10/2*'Data to enter'!N11)</f>
        <v>20026.400000000001</v>
      </c>
      <c r="P24" s="111">
        <f>(P10/2*'Data to enter'!O10)+('p1 10 year'!P10/2*'Data to enter'!O11)</f>
        <v>20652.225000000002</v>
      </c>
    </row>
    <row r="25" spans="1:16" ht="15" x14ac:dyDescent="0.25">
      <c r="A25" s="57"/>
      <c r="B25" s="57" t="s">
        <v>95</v>
      </c>
      <c r="C25" s="57"/>
      <c r="D25" s="57"/>
      <c r="E25" s="136"/>
      <c r="F25" s="136"/>
      <c r="G25" s="137">
        <f>'p1 one year'!G27</f>
        <v>2479.86</v>
      </c>
      <c r="H25" s="111">
        <f>G25*(1+'Data to enter'!F8)</f>
        <v>2554.2558000000004</v>
      </c>
      <c r="I25" s="111">
        <f>H25*(1+'Data to enter'!G8)</f>
        <v>2630.8834740000007</v>
      </c>
      <c r="J25" s="111">
        <f>I25*(1+'Data to enter'!H8)</f>
        <v>2709.8099782200006</v>
      </c>
      <c r="K25" s="111">
        <f>J25*(1+'Data to enter'!I8)</f>
        <v>2791.1042775666006</v>
      </c>
      <c r="L25" s="111">
        <f>K25*(1+'Data to enter'!J8)</f>
        <v>2874.8374058935988</v>
      </c>
      <c r="M25" s="111">
        <f>L25*(1+'Data to enter'!K8)</f>
        <v>2961.0825280704066</v>
      </c>
      <c r="N25" s="111">
        <f>M25*(1+'Data to enter'!L8)</f>
        <v>3049.9150039125188</v>
      </c>
      <c r="O25" s="111">
        <f>N25*(1+'Data to enter'!M8)</f>
        <v>3141.4124540298944</v>
      </c>
      <c r="P25" s="111">
        <f>O25*(1+'Data to enter'!N8)</f>
        <v>3235.6548276507915</v>
      </c>
    </row>
    <row r="26" spans="1:16" ht="15" x14ac:dyDescent="0.25">
      <c r="A26" s="57"/>
      <c r="B26" s="57" t="s">
        <v>3</v>
      </c>
      <c r="C26" s="57"/>
      <c r="D26" s="57"/>
      <c r="E26" s="136"/>
      <c r="F26" s="136"/>
      <c r="G26" s="137">
        <f>'p1 one year'!G28</f>
        <v>3000</v>
      </c>
      <c r="H26" s="111">
        <f>G26*(1+'Data to enter'!F8)</f>
        <v>3090</v>
      </c>
      <c r="I26" s="111">
        <f>H26*(1+'Data to enter'!G8)</f>
        <v>3182.7000000000003</v>
      </c>
      <c r="J26" s="111">
        <f>I26*(1+'Data to enter'!H8)</f>
        <v>3278.1810000000005</v>
      </c>
      <c r="K26" s="111">
        <f>J26*(1+'Data to enter'!I8)</f>
        <v>3376.5264300000008</v>
      </c>
      <c r="L26" s="111">
        <f>K26*(1+'Data to enter'!J8)</f>
        <v>3477.8222229000007</v>
      </c>
      <c r="M26" s="111">
        <f>L26*(1+'Data to enter'!K8)</f>
        <v>3582.1568895870009</v>
      </c>
      <c r="N26" s="111">
        <f>M26*(1+'Data to enter'!L8)</f>
        <v>3689.621596274611</v>
      </c>
      <c r="O26" s="111">
        <f>N26*(1+'Data to enter'!M8)</f>
        <v>3800.3102441628494</v>
      </c>
      <c r="P26" s="111">
        <f>O26*(1+'Data to enter'!N8)</f>
        <v>3914.3195514877348</v>
      </c>
    </row>
    <row r="27" spans="1:16" ht="15" x14ac:dyDescent="0.25">
      <c r="A27" s="57"/>
      <c r="B27" s="57" t="s">
        <v>6</v>
      </c>
      <c r="C27" s="57"/>
      <c r="D27" s="57"/>
      <c r="E27" s="136"/>
      <c r="F27" s="136"/>
      <c r="G27" s="137">
        <f>'p1 one year'!G29</f>
        <v>500</v>
      </c>
      <c r="H27" s="111">
        <f>G27*(1+'Data to enter'!F8)</f>
        <v>515</v>
      </c>
      <c r="I27" s="111">
        <f>H27*(1+'Data to enter'!G8)</f>
        <v>530.45000000000005</v>
      </c>
      <c r="J27" s="111">
        <f>I27*(1+'Data to enter'!H8)</f>
        <v>546.36350000000004</v>
      </c>
      <c r="K27" s="111">
        <f>J27*(1+'Data to enter'!I8)</f>
        <v>562.75440500000002</v>
      </c>
      <c r="L27" s="111">
        <f>K27*(1+'Data to enter'!J8)</f>
        <v>579.63703715000008</v>
      </c>
      <c r="M27" s="111">
        <f>L27*(1+'Data to enter'!K8)</f>
        <v>597.02614826450008</v>
      </c>
      <c r="N27" s="111">
        <f>M27*(1+'Data to enter'!L8)</f>
        <v>614.93693271243512</v>
      </c>
      <c r="O27" s="111">
        <f>N27*(1+'Data to enter'!M8)</f>
        <v>633.38504069380815</v>
      </c>
      <c r="P27" s="111">
        <f>O27*(1+'Data to enter'!N8)</f>
        <v>652.38659191462239</v>
      </c>
    </row>
    <row r="28" spans="1:16" ht="15" x14ac:dyDescent="0.25">
      <c r="A28" s="57"/>
      <c r="B28" s="57" t="s">
        <v>22</v>
      </c>
      <c r="C28" s="57"/>
      <c r="D28" s="57"/>
      <c r="E28" s="136"/>
      <c r="F28" s="136"/>
      <c r="G28" s="137">
        <f>'p1 one year'!G30</f>
        <v>100</v>
      </c>
      <c r="H28" s="111">
        <f>G28*(1+'Data to enter'!F8)</f>
        <v>103</v>
      </c>
      <c r="I28" s="111">
        <f>H28*(1+'Data to enter'!G8)</f>
        <v>106.09</v>
      </c>
      <c r="J28" s="111">
        <f>I28*(1+'Data to enter'!H8)</f>
        <v>109.2727</v>
      </c>
      <c r="K28" s="111">
        <f>J28*(1+'Data to enter'!I8)</f>
        <v>112.550881</v>
      </c>
      <c r="L28" s="111">
        <f>K28*(1+'Data to enter'!J8)</f>
        <v>115.92740743</v>
      </c>
      <c r="M28" s="111">
        <f>L28*(1+'Data to enter'!K8)</f>
        <v>119.4052296529</v>
      </c>
      <c r="N28" s="111">
        <f>M28*(1+'Data to enter'!L8)</f>
        <v>122.987386542487</v>
      </c>
      <c r="O28" s="111">
        <f>N28*(1+'Data to enter'!M8)</f>
        <v>126.67700813876162</v>
      </c>
      <c r="P28" s="111">
        <f>O28*(1+'Data to enter'!N8)</f>
        <v>130.47731838292447</v>
      </c>
    </row>
    <row r="29" spans="1:16" ht="15" x14ac:dyDescent="0.25">
      <c r="A29" s="57"/>
      <c r="B29" s="57" t="s">
        <v>23</v>
      </c>
      <c r="C29" s="57"/>
      <c r="D29" s="57"/>
      <c r="E29" s="136"/>
      <c r="F29" s="136"/>
      <c r="G29" s="137">
        <f>'p1 one year'!G31</f>
        <v>300</v>
      </c>
      <c r="H29" s="111">
        <f>G29*(1+'Data to enter'!F8)</f>
        <v>309</v>
      </c>
      <c r="I29" s="111">
        <f>H29*(1+'Data to enter'!G8)</f>
        <v>318.27</v>
      </c>
      <c r="J29" s="111">
        <f>I29*(1+'Data to enter'!H8)</f>
        <v>327.81810000000002</v>
      </c>
      <c r="K29" s="111">
        <f>J29*(1+'Data to enter'!I8)</f>
        <v>337.65264300000001</v>
      </c>
      <c r="L29" s="111">
        <f>K29*(1+'Data to enter'!J8)</f>
        <v>347.78222228999999</v>
      </c>
      <c r="M29" s="111">
        <f>L29*(1+'Data to enter'!K8)</f>
        <v>358.21568895870001</v>
      </c>
      <c r="N29" s="111">
        <f>M29*(1+'Data to enter'!L8)</f>
        <v>368.96215962746101</v>
      </c>
      <c r="O29" s="111">
        <f>N29*(1+'Data to enter'!M8)</f>
        <v>380.03102441628482</v>
      </c>
      <c r="P29" s="111">
        <f>O29*(1+'Data to enter'!N8)</f>
        <v>391.4319551487734</v>
      </c>
    </row>
    <row r="30" spans="1:16" ht="15" x14ac:dyDescent="0.25">
      <c r="A30" s="57"/>
      <c r="B30" s="57" t="s">
        <v>5</v>
      </c>
      <c r="C30" s="57"/>
      <c r="D30" s="57"/>
      <c r="E30" s="136"/>
      <c r="F30" s="136"/>
      <c r="G30" s="137">
        <f>'p1 one year'!G32</f>
        <v>500</v>
      </c>
      <c r="H30" s="111">
        <f>G30*(1+'Data to enter'!F8)</f>
        <v>515</v>
      </c>
      <c r="I30" s="111">
        <f>H30*(1+'Data to enter'!G8)</f>
        <v>530.45000000000005</v>
      </c>
      <c r="J30" s="111">
        <f>I30*(1+'Data to enter'!H8)</f>
        <v>546.36350000000004</v>
      </c>
      <c r="K30" s="111">
        <f>J30*(1+'Data to enter'!I8)</f>
        <v>562.75440500000002</v>
      </c>
      <c r="L30" s="111">
        <f>K30*(1+'Data to enter'!J8)</f>
        <v>579.63703715000008</v>
      </c>
      <c r="M30" s="111">
        <f>L30*(1+'Data to enter'!K8)</f>
        <v>597.02614826450008</v>
      </c>
      <c r="N30" s="111">
        <f>M30*(1+'Data to enter'!L8)</f>
        <v>614.93693271243512</v>
      </c>
      <c r="O30" s="111">
        <f>N30*(1+'Data to enter'!M8)</f>
        <v>633.38504069380815</v>
      </c>
      <c r="P30" s="111">
        <f>O30*(1+'Data to enter'!N8)</f>
        <v>652.38659191462239</v>
      </c>
    </row>
    <row r="31" spans="1:16" ht="15" x14ac:dyDescent="0.25">
      <c r="A31" s="57"/>
      <c r="B31" s="57"/>
      <c r="C31" s="57"/>
      <c r="D31" s="57"/>
      <c r="E31" s="57"/>
      <c r="F31" s="57"/>
      <c r="G31" s="57"/>
    </row>
    <row r="32" spans="1:16" ht="17.399999999999999" x14ac:dyDescent="0.3">
      <c r="A32" s="57"/>
      <c r="B32" s="64" t="s">
        <v>4</v>
      </c>
      <c r="C32" s="64"/>
      <c r="D32" s="57"/>
      <c r="E32" s="57"/>
      <c r="F32" s="57"/>
      <c r="G32" s="140">
        <f>SUM(G20:G30)</f>
        <v>25097.284</v>
      </c>
      <c r="H32" s="140">
        <f t="shared" ref="H32:P32" si="1">SUM(H20:H30)</f>
        <v>25729.042799999999</v>
      </c>
      <c r="I32" s="140">
        <f t="shared" si="1"/>
        <v>26346.460474000003</v>
      </c>
      <c r="J32" s="140">
        <f t="shared" si="1"/>
        <v>27350.385778219999</v>
      </c>
      <c r="K32" s="140">
        <f t="shared" si="1"/>
        <v>28365.654091566601</v>
      </c>
      <c r="L32" s="140">
        <f t="shared" si="1"/>
        <v>31920.938704313608</v>
      </c>
      <c r="M32" s="140">
        <f t="shared" si="1"/>
        <v>32959.924115443006</v>
      </c>
      <c r="N32" s="140">
        <f t="shared" si="1"/>
        <v>34011.304338906302</v>
      </c>
      <c r="O32" s="140">
        <f t="shared" si="1"/>
        <v>35075.451219073482</v>
      </c>
      <c r="P32" s="140">
        <f t="shared" si="1"/>
        <v>36152.747755645687</v>
      </c>
    </row>
    <row r="33" spans="1:18" ht="15" x14ac:dyDescent="0.25">
      <c r="A33" s="57"/>
      <c r="B33" s="57"/>
      <c r="C33" s="57"/>
      <c r="D33" s="57"/>
      <c r="E33" s="57"/>
      <c r="F33" s="57"/>
      <c r="G33" s="57"/>
    </row>
    <row r="34" spans="1:18" ht="15" x14ac:dyDescent="0.25">
      <c r="A34" s="141"/>
      <c r="B34" s="142" t="s">
        <v>10</v>
      </c>
      <c r="C34" s="142"/>
      <c r="D34" s="142"/>
      <c r="E34" s="141"/>
      <c r="F34" s="141"/>
      <c r="G34" s="143">
        <f>G14-G32</f>
        <v>-1892.2839999999997</v>
      </c>
      <c r="H34" s="143">
        <f t="shared" ref="H34:P34" si="2">H14-H32</f>
        <v>-1827.8927999999978</v>
      </c>
      <c r="I34" s="143">
        <f t="shared" si="2"/>
        <v>-1728.2759740000001</v>
      </c>
      <c r="J34" s="143">
        <f t="shared" si="2"/>
        <v>-1993.6557432199952</v>
      </c>
      <c r="K34" s="143">
        <f t="shared" si="2"/>
        <v>-2248.2221555165961</v>
      </c>
      <c r="L34" s="143">
        <f t="shared" si="2"/>
        <v>-5019.9838101821042</v>
      </c>
      <c r="M34" s="143">
        <f t="shared" si="2"/>
        <v>-5251.9405744875548</v>
      </c>
      <c r="N34" s="143">
        <f t="shared" si="2"/>
        <v>-5472.0812917221883</v>
      </c>
      <c r="O34" s="143">
        <f t="shared" si="2"/>
        <v>-5680.051480473845</v>
      </c>
      <c r="P34" s="143">
        <f t="shared" si="2"/>
        <v>-5875.4860248880614</v>
      </c>
    </row>
    <row r="35" spans="1:18" ht="15" x14ac:dyDescent="0.25">
      <c r="A35" s="57"/>
      <c r="B35" s="57"/>
      <c r="C35" s="57"/>
      <c r="D35" s="57"/>
      <c r="E35" s="57"/>
      <c r="F35" s="57"/>
      <c r="G35" s="57"/>
    </row>
    <row r="36" spans="1:18" ht="15" x14ac:dyDescent="0.25">
      <c r="A36" s="57"/>
      <c r="B36" s="60" t="s">
        <v>12</v>
      </c>
      <c r="C36" s="60"/>
      <c r="D36" s="57"/>
      <c r="E36" s="57" t="s">
        <v>15</v>
      </c>
      <c r="F36" s="57"/>
      <c r="G36" s="57"/>
    </row>
    <row r="37" spans="1:18" ht="15" x14ac:dyDescent="0.25">
      <c r="A37" s="57"/>
      <c r="B37" s="57"/>
      <c r="C37" s="57"/>
      <c r="D37" s="57"/>
      <c r="E37" s="57" t="s">
        <v>16</v>
      </c>
      <c r="F37" s="57"/>
      <c r="G37" s="144">
        <f>'p1 one year'!H39</f>
        <v>5000</v>
      </c>
      <c r="H37" s="144">
        <f>G37*0.75</f>
        <v>3750</v>
      </c>
      <c r="I37" s="144">
        <f t="shared" ref="I37:P37" si="3">H37*0.75</f>
        <v>2812.5</v>
      </c>
      <c r="J37" s="144">
        <f t="shared" si="3"/>
        <v>2109.375</v>
      </c>
      <c r="K37" s="144">
        <f t="shared" si="3"/>
        <v>1582.03125</v>
      </c>
      <c r="L37" s="144">
        <f t="shared" si="3"/>
        <v>1186.5234375</v>
      </c>
      <c r="M37" s="144">
        <f t="shared" si="3"/>
        <v>889.892578125</v>
      </c>
      <c r="N37" s="144">
        <f t="shared" si="3"/>
        <v>667.41943359375</v>
      </c>
      <c r="O37" s="144">
        <f t="shared" si="3"/>
        <v>500.5645751953125</v>
      </c>
      <c r="P37" s="144">
        <f t="shared" si="3"/>
        <v>375.42343139648438</v>
      </c>
    </row>
    <row r="38" spans="1:18" ht="15" x14ac:dyDescent="0.25">
      <c r="A38" s="57"/>
      <c r="B38" s="57"/>
      <c r="C38" s="57"/>
      <c r="D38" s="57"/>
      <c r="E38" s="57"/>
      <c r="F38" s="57"/>
      <c r="G38" s="57"/>
    </row>
    <row r="39" spans="1:18" ht="15" x14ac:dyDescent="0.25">
      <c r="A39" s="57"/>
      <c r="B39" s="57"/>
      <c r="C39" s="57"/>
      <c r="D39" s="57"/>
      <c r="E39" s="57"/>
      <c r="F39" s="57"/>
      <c r="G39" s="57"/>
    </row>
    <row r="40" spans="1:18" ht="15" x14ac:dyDescent="0.25">
      <c r="A40" s="57"/>
      <c r="B40" s="60" t="s">
        <v>13</v>
      </c>
      <c r="C40" s="60"/>
      <c r="D40" s="60"/>
      <c r="E40" s="60"/>
      <c r="F40" s="60"/>
      <c r="G40" s="66">
        <f>G34-G37</f>
        <v>-6892.2839999999997</v>
      </c>
      <c r="H40" s="66">
        <f t="shared" ref="H40:P40" si="4">H34-H37</f>
        <v>-5577.8927999999978</v>
      </c>
      <c r="I40" s="66">
        <f t="shared" si="4"/>
        <v>-4540.7759740000001</v>
      </c>
      <c r="J40" s="66">
        <f t="shared" si="4"/>
        <v>-4103.0307432199952</v>
      </c>
      <c r="K40" s="66">
        <f t="shared" si="4"/>
        <v>-3830.2534055165961</v>
      </c>
      <c r="L40" s="66">
        <f t="shared" si="4"/>
        <v>-6206.5072476821042</v>
      </c>
      <c r="M40" s="66">
        <f t="shared" si="4"/>
        <v>-6141.8331526125548</v>
      </c>
      <c r="N40" s="66">
        <f t="shared" si="4"/>
        <v>-6139.5007253159383</v>
      </c>
      <c r="O40" s="66">
        <f t="shared" si="4"/>
        <v>-6180.6160556691575</v>
      </c>
      <c r="P40" s="66">
        <f t="shared" si="4"/>
        <v>-6250.9094562845457</v>
      </c>
    </row>
    <row r="41" spans="1:18" ht="15" x14ac:dyDescent="0.25">
      <c r="A41" s="57"/>
      <c r="B41" s="60"/>
      <c r="C41" s="60"/>
      <c r="D41" s="60"/>
      <c r="E41" s="60"/>
      <c r="F41" s="60"/>
      <c r="G41" s="60"/>
    </row>
    <row r="42" spans="1:18" ht="17.399999999999999" x14ac:dyDescent="0.3">
      <c r="A42" s="57"/>
      <c r="B42" s="70" t="s">
        <v>30</v>
      </c>
      <c r="C42" s="60"/>
      <c r="D42" s="60"/>
      <c r="E42" s="138"/>
      <c r="F42" s="60"/>
      <c r="G42" s="66">
        <f>IF(G40&lt;0,0,-(G40*$G$43*$E$43)+-(G40*$G$44*$E$44))</f>
        <v>0</v>
      </c>
      <c r="H42" s="66">
        <f>IF(H40&lt;0,0,-(H40*$G$43*$E$43)+-(H40*$G$44*$E$44))</f>
        <v>0</v>
      </c>
      <c r="I42" s="66">
        <f t="shared" ref="I42:P42" si="5">IF(I40&lt;0,0,-(I40*$G$43*$E$43)+-(I40*$G$44*$E$44))</f>
        <v>0</v>
      </c>
      <c r="J42" s="66">
        <f t="shared" si="5"/>
        <v>0</v>
      </c>
      <c r="K42" s="66">
        <f t="shared" si="5"/>
        <v>0</v>
      </c>
      <c r="L42" s="66">
        <f t="shared" si="5"/>
        <v>0</v>
      </c>
      <c r="M42" s="66">
        <f t="shared" si="5"/>
        <v>0</v>
      </c>
      <c r="N42" s="66">
        <f t="shared" si="5"/>
        <v>0</v>
      </c>
      <c r="O42" s="66">
        <f t="shared" si="5"/>
        <v>0</v>
      </c>
      <c r="P42" s="66">
        <f t="shared" si="5"/>
        <v>0</v>
      </c>
      <c r="Q42" s="95"/>
      <c r="R42" s="95">
        <f>SUM(H42:P42)</f>
        <v>0</v>
      </c>
    </row>
    <row r="43" spans="1:18" ht="15" x14ac:dyDescent="0.25">
      <c r="A43" s="57"/>
      <c r="B43" s="60"/>
      <c r="C43" s="60" t="s">
        <v>32</v>
      </c>
      <c r="D43" s="60" t="s">
        <v>31</v>
      </c>
      <c r="E43" s="138">
        <f>'p1 one year'!E45</f>
        <v>0.33</v>
      </c>
      <c r="F43" s="60"/>
      <c r="G43" s="145">
        <f>'p1 one year'!G45</f>
        <v>0.99</v>
      </c>
      <c r="K43" s="146"/>
      <c r="L43" s="146"/>
      <c r="M43" s="146"/>
      <c r="N43" s="146"/>
    </row>
    <row r="44" spans="1:18" ht="15" x14ac:dyDescent="0.25">
      <c r="A44" s="57"/>
      <c r="B44" s="60"/>
      <c r="C44" s="60" t="s">
        <v>34</v>
      </c>
      <c r="D44" s="60"/>
      <c r="E44" s="138">
        <f>'p1 one year'!E46</f>
        <v>0.17499999999999999</v>
      </c>
      <c r="F44" s="60"/>
      <c r="G44" s="145">
        <f>'p1 one year'!G46</f>
        <v>0.01</v>
      </c>
    </row>
    <row r="45" spans="1:18" ht="15" x14ac:dyDescent="0.25">
      <c r="A45" s="57"/>
      <c r="B45" s="72"/>
      <c r="C45" s="72"/>
      <c r="D45" s="72"/>
      <c r="E45" s="72"/>
      <c r="F45" s="72"/>
      <c r="G45" s="72"/>
    </row>
    <row r="46" spans="1:18" ht="18" thickBot="1" x14ac:dyDescent="0.35">
      <c r="A46" s="57"/>
      <c r="B46" s="60" t="s">
        <v>36</v>
      </c>
      <c r="C46" s="72"/>
      <c r="D46" s="72"/>
      <c r="E46" s="72"/>
      <c r="F46" s="72"/>
      <c r="G46" s="147">
        <f>G34+G42</f>
        <v>-1892.2839999999997</v>
      </c>
      <c r="H46" s="147">
        <f t="shared" ref="H46:P46" si="6">H34+H42</f>
        <v>-1827.8927999999978</v>
      </c>
      <c r="I46" s="147">
        <f t="shared" si="6"/>
        <v>-1728.2759740000001</v>
      </c>
      <c r="J46" s="147">
        <f t="shared" si="6"/>
        <v>-1993.6557432199952</v>
      </c>
      <c r="K46" s="147">
        <f t="shared" si="6"/>
        <v>-2248.2221555165961</v>
      </c>
      <c r="L46" s="147">
        <f t="shared" si="6"/>
        <v>-5019.9838101821042</v>
      </c>
      <c r="M46" s="147">
        <f t="shared" si="6"/>
        <v>-5251.9405744875548</v>
      </c>
      <c r="N46" s="147">
        <f t="shared" si="6"/>
        <v>-5472.0812917221883</v>
      </c>
      <c r="O46" s="147">
        <f t="shared" si="6"/>
        <v>-5680.051480473845</v>
      </c>
      <c r="P46" s="147">
        <f t="shared" si="6"/>
        <v>-5875.4860248880614</v>
      </c>
    </row>
    <row r="47" spans="1:18" ht="15.6" thickTop="1" x14ac:dyDescent="0.25">
      <c r="A47" s="57"/>
      <c r="B47" s="57"/>
      <c r="C47" s="57"/>
      <c r="D47" s="57"/>
      <c r="E47" s="57"/>
      <c r="F47" s="57"/>
      <c r="G47" s="111"/>
    </row>
    <row r="48" spans="1:18" ht="15" x14ac:dyDescent="0.25">
      <c r="A48" s="57"/>
      <c r="B48" s="60" t="s">
        <v>17</v>
      </c>
      <c r="C48" s="57"/>
      <c r="D48" s="57"/>
      <c r="E48" s="57"/>
      <c r="F48" s="57"/>
      <c r="G48" s="66">
        <f>G46/52</f>
        <v>-36.390076923076919</v>
      </c>
      <c r="H48" s="66">
        <f t="shared" ref="H48:P48" si="7">H46/52</f>
        <v>-35.151784615384571</v>
      </c>
      <c r="I48" s="66">
        <f t="shared" si="7"/>
        <v>-33.236076423076923</v>
      </c>
      <c r="J48" s="66">
        <f t="shared" si="7"/>
        <v>-38.339533523461448</v>
      </c>
      <c r="K48" s="66">
        <f t="shared" si="7"/>
        <v>-43.235041452242235</v>
      </c>
      <c r="L48" s="66">
        <f t="shared" si="7"/>
        <v>-96.538150195809692</v>
      </c>
      <c r="M48" s="66">
        <f t="shared" si="7"/>
        <v>-100.99885720168375</v>
      </c>
      <c r="N48" s="66">
        <f t="shared" si="7"/>
        <v>-105.23233253311901</v>
      </c>
      <c r="O48" s="66">
        <f t="shared" si="7"/>
        <v>-109.23175923988164</v>
      </c>
      <c r="P48" s="66">
        <f t="shared" si="7"/>
        <v>-112.99011586323195</v>
      </c>
    </row>
    <row r="49" spans="1:18" ht="15" x14ac:dyDescent="0.25">
      <c r="A49" s="57"/>
      <c r="B49" s="57"/>
      <c r="C49" s="57"/>
      <c r="D49" s="57"/>
      <c r="E49" s="57"/>
      <c r="F49" s="57"/>
      <c r="G49" s="63"/>
    </row>
    <row r="50" spans="1:18" ht="15" x14ac:dyDescent="0.25">
      <c r="A50" s="57"/>
      <c r="B50" s="57"/>
      <c r="C50" s="57"/>
      <c r="D50" s="57"/>
      <c r="E50" s="57"/>
      <c r="F50" s="57"/>
      <c r="G50" s="62"/>
    </row>
    <row r="51" spans="1:18" ht="15" x14ac:dyDescent="0.25">
      <c r="A51" s="57"/>
      <c r="B51" s="57" t="s">
        <v>50</v>
      </c>
      <c r="C51" s="57"/>
      <c r="D51" s="57"/>
      <c r="E51" s="57"/>
      <c r="F51" s="57"/>
      <c r="G51" s="111">
        <f>G6-G10</f>
        <v>-660</v>
      </c>
      <c r="H51" s="111">
        <f t="shared" ref="H51:P51" si="8">H6-H10</f>
        <v>-660</v>
      </c>
      <c r="I51" s="111">
        <f t="shared" si="8"/>
        <v>-660</v>
      </c>
      <c r="J51" s="111">
        <f t="shared" si="8"/>
        <v>11839.999999999942</v>
      </c>
      <c r="K51" s="111">
        <f t="shared" si="8"/>
        <v>37465</v>
      </c>
      <c r="L51" s="111">
        <f t="shared" si="8"/>
        <v>75133.75</v>
      </c>
      <c r="M51" s="111">
        <f t="shared" si="8"/>
        <v>126955.1875</v>
      </c>
      <c r="N51" s="111">
        <f t="shared" si="8"/>
        <v>195992.85812500003</v>
      </c>
      <c r="O51" s="111">
        <f t="shared" si="8"/>
        <v>300490.78684374993</v>
      </c>
      <c r="P51" s="111">
        <f t="shared" si="8"/>
        <v>380605.86552812497</v>
      </c>
      <c r="R51" s="95">
        <f>P51-R8</f>
        <v>380605.86552812497</v>
      </c>
    </row>
    <row r="52" spans="1:18" ht="15" x14ac:dyDescent="0.25">
      <c r="A52" s="57"/>
      <c r="B52" s="57" t="s">
        <v>51</v>
      </c>
      <c r="C52" s="72"/>
      <c r="D52" s="72"/>
      <c r="E52" s="72"/>
      <c r="F52" s="57"/>
      <c r="G52" s="111">
        <f>G46</f>
        <v>-1892.2839999999997</v>
      </c>
      <c r="H52" s="111">
        <f>G52+H46</f>
        <v>-3720.1767999999975</v>
      </c>
      <c r="I52" s="111">
        <f t="shared" ref="I52:P52" si="9">H52+I46</f>
        <v>-5448.4527739999976</v>
      </c>
      <c r="J52" s="111">
        <f t="shared" si="9"/>
        <v>-7442.1085172199928</v>
      </c>
      <c r="K52" s="111">
        <f t="shared" si="9"/>
        <v>-9690.3306727365889</v>
      </c>
      <c r="L52" s="111">
        <f t="shared" si="9"/>
        <v>-14710.314482918693</v>
      </c>
      <c r="M52" s="111">
        <f t="shared" si="9"/>
        <v>-19962.255057406248</v>
      </c>
      <c r="N52" s="111">
        <f t="shared" si="9"/>
        <v>-25434.336349128436</v>
      </c>
      <c r="O52" s="111">
        <f t="shared" si="9"/>
        <v>-31114.387829602281</v>
      </c>
      <c r="P52" s="111">
        <f t="shared" si="9"/>
        <v>-36989.873854490346</v>
      </c>
    </row>
    <row r="53" spans="1:18" ht="14.25" customHeight="1" x14ac:dyDescent="0.25">
      <c r="A53" s="57"/>
      <c r="B53" s="57"/>
      <c r="C53" s="57"/>
      <c r="D53" s="57"/>
      <c r="E53" s="57"/>
      <c r="F53" s="57"/>
      <c r="G53" s="63"/>
    </row>
    <row r="54" spans="1:18" ht="15" hidden="1" x14ac:dyDescent="0.25">
      <c r="A54" s="57"/>
      <c r="B54" s="77"/>
      <c r="C54" s="77"/>
      <c r="D54" s="77"/>
      <c r="E54" s="77"/>
      <c r="F54" s="77"/>
      <c r="G54" s="78"/>
    </row>
    <row r="55" spans="1:18" hidden="1" x14ac:dyDescent="0.25">
      <c r="B55" s="79"/>
      <c r="C55" s="79"/>
      <c r="D55" s="79"/>
      <c r="E55" s="79"/>
      <c r="F55" s="79"/>
      <c r="G55" s="79"/>
    </row>
    <row r="56" spans="1:18" hidden="1" x14ac:dyDescent="0.25">
      <c r="A56" s="56"/>
      <c r="B56" s="80"/>
      <c r="C56" s="81"/>
      <c r="D56" s="80"/>
      <c r="E56" s="80"/>
      <c r="F56" s="80"/>
      <c r="G56" s="80"/>
    </row>
    <row r="57" spans="1:18" hidden="1" x14ac:dyDescent="0.25">
      <c r="A57" s="56"/>
      <c r="B57" s="56"/>
      <c r="C57" s="56"/>
      <c r="D57" s="56"/>
      <c r="E57" s="56"/>
      <c r="F57" s="56"/>
      <c r="G57" s="56"/>
    </row>
    <row r="58" spans="1:18" ht="29.4" x14ac:dyDescent="0.45">
      <c r="A58" s="56"/>
      <c r="B58" s="191"/>
      <c r="C58" s="191"/>
      <c r="D58" s="191"/>
      <c r="E58" s="191"/>
      <c r="F58" s="191"/>
      <c r="G58" s="191"/>
    </row>
    <row r="59" spans="1:18" ht="29.4" x14ac:dyDescent="0.45">
      <c r="A59" s="56"/>
      <c r="B59" s="148" t="s">
        <v>53</v>
      </c>
      <c r="C59" s="128"/>
      <c r="D59" s="128"/>
      <c r="E59" s="128"/>
      <c r="F59" s="128"/>
      <c r="G59" s="128"/>
    </row>
    <row r="60" spans="1:18" ht="29.4" x14ac:dyDescent="0.45">
      <c r="A60" s="56"/>
      <c r="B60" s="128"/>
      <c r="C60" s="128"/>
      <c r="D60" s="128"/>
      <c r="E60" s="128"/>
      <c r="F60" s="128"/>
      <c r="G60" s="128"/>
    </row>
    <row r="61" spans="1:18" ht="15" x14ac:dyDescent="0.25">
      <c r="A61" s="56"/>
      <c r="B61" s="149" t="s">
        <v>54</v>
      </c>
      <c r="C61" s="150"/>
      <c r="D61" s="150"/>
      <c r="E61" s="150"/>
      <c r="F61" s="150"/>
      <c r="G61" s="150"/>
    </row>
    <row r="62" spans="1:18" ht="15" x14ac:dyDescent="0.25">
      <c r="A62" s="56"/>
      <c r="B62" s="151"/>
      <c r="C62" s="151"/>
      <c r="D62" s="151"/>
      <c r="E62" s="151"/>
      <c r="F62" s="151"/>
      <c r="G62" s="151"/>
    </row>
    <row r="63" spans="1:18" ht="15" x14ac:dyDescent="0.25">
      <c r="A63" s="56"/>
      <c r="B63" s="57" t="s">
        <v>55</v>
      </c>
      <c r="C63" s="151"/>
      <c r="D63" s="151"/>
      <c r="E63" s="151"/>
      <c r="F63" s="151"/>
      <c r="G63" s="151"/>
    </row>
    <row r="64" spans="1:18" ht="15" x14ac:dyDescent="0.25">
      <c r="A64" s="57"/>
      <c r="B64" s="57"/>
      <c r="C64" s="57"/>
      <c r="D64" s="57"/>
      <c r="E64" s="57"/>
      <c r="F64" s="57"/>
      <c r="G64" s="57"/>
    </row>
    <row r="65" spans="1:7" ht="15" x14ac:dyDescent="0.25">
      <c r="A65" s="57"/>
      <c r="B65" s="57" t="s">
        <v>56</v>
      </c>
      <c r="C65" s="57"/>
      <c r="D65" s="57"/>
      <c r="E65" s="57"/>
      <c r="F65" s="57"/>
      <c r="G65" s="57"/>
    </row>
    <row r="66" spans="1:7" ht="15" x14ac:dyDescent="0.25">
      <c r="A66" s="57"/>
      <c r="B66" s="60"/>
      <c r="C66" s="57"/>
      <c r="D66" s="57"/>
      <c r="E66" s="57"/>
      <c r="F66" s="57"/>
      <c r="G66" s="57"/>
    </row>
    <row r="67" spans="1:7" ht="15" x14ac:dyDescent="0.25">
      <c r="A67" s="57"/>
      <c r="B67" s="57" t="s">
        <v>57</v>
      </c>
      <c r="C67" s="57"/>
      <c r="D67" s="57"/>
      <c r="E67" s="57"/>
      <c r="F67" s="57"/>
      <c r="G67" s="57"/>
    </row>
    <row r="68" spans="1:7" ht="15" x14ac:dyDescent="0.25">
      <c r="A68" s="57"/>
      <c r="B68" s="57"/>
      <c r="C68" s="57"/>
      <c r="D68" s="57"/>
      <c r="E68" s="57"/>
      <c r="F68" s="57"/>
      <c r="G68" s="57"/>
    </row>
    <row r="69" spans="1:7" ht="15" x14ac:dyDescent="0.25">
      <c r="A69" s="57"/>
      <c r="B69" s="57" t="s">
        <v>58</v>
      </c>
      <c r="C69" s="57"/>
      <c r="D69" s="57"/>
      <c r="E69" s="57"/>
      <c r="F69" s="57"/>
      <c r="G69" s="57"/>
    </row>
    <row r="70" spans="1:7" ht="15" x14ac:dyDescent="0.25">
      <c r="A70" s="57"/>
      <c r="B70" s="57"/>
      <c r="C70" s="57"/>
      <c r="D70" s="57"/>
      <c r="E70" s="57"/>
      <c r="F70" s="57"/>
      <c r="G70" s="57"/>
    </row>
    <row r="71" spans="1:7" ht="15" x14ac:dyDescent="0.25">
      <c r="A71" s="57"/>
      <c r="B71" s="57" t="s">
        <v>60</v>
      </c>
      <c r="C71" s="57"/>
      <c r="D71" s="57"/>
      <c r="E71" s="57"/>
      <c r="F71" s="57"/>
      <c r="G71" s="57" t="s">
        <v>88</v>
      </c>
    </row>
    <row r="72" spans="1:7" ht="15" x14ac:dyDescent="0.25">
      <c r="A72" s="57"/>
      <c r="B72" s="57"/>
      <c r="C72" s="57"/>
      <c r="D72" s="57"/>
      <c r="E72" s="57"/>
      <c r="F72" s="57"/>
      <c r="G72" s="57"/>
    </row>
    <row r="73" spans="1:7" ht="15" x14ac:dyDescent="0.25">
      <c r="A73" s="57"/>
      <c r="B73" s="57"/>
      <c r="C73" s="57"/>
      <c r="D73" s="57"/>
      <c r="E73" s="57"/>
      <c r="F73" s="57"/>
      <c r="G73" s="57"/>
    </row>
    <row r="74" spans="1:7" ht="15" x14ac:dyDescent="0.25">
      <c r="A74" s="57"/>
      <c r="B74" s="57"/>
      <c r="C74" s="57"/>
      <c r="D74" s="57"/>
      <c r="E74" s="57"/>
      <c r="F74" s="57"/>
      <c r="G74" s="57"/>
    </row>
    <row r="75" spans="1:7" ht="15" x14ac:dyDescent="0.25">
      <c r="A75" s="57"/>
      <c r="B75" s="57"/>
      <c r="C75" s="57"/>
      <c r="D75" s="57"/>
      <c r="E75" s="57"/>
      <c r="F75" s="57"/>
      <c r="G75" s="57"/>
    </row>
    <row r="76" spans="1:7" ht="15" x14ac:dyDescent="0.25">
      <c r="A76" s="57"/>
      <c r="B76" s="57"/>
      <c r="C76" s="57"/>
      <c r="D76" s="57"/>
      <c r="E76" s="57"/>
      <c r="F76" s="57"/>
      <c r="G76" s="57"/>
    </row>
    <row r="77" spans="1:7" ht="15" x14ac:dyDescent="0.25">
      <c r="A77" s="57"/>
      <c r="B77" s="57"/>
      <c r="C77" s="57"/>
      <c r="D77" s="57"/>
      <c r="E77" s="57"/>
      <c r="F77" s="57"/>
      <c r="G77" s="57"/>
    </row>
    <row r="78" spans="1:7" ht="15" x14ac:dyDescent="0.25">
      <c r="A78" s="57"/>
      <c r="B78" s="57"/>
      <c r="C78" s="57"/>
      <c r="D78" s="57"/>
      <c r="E78" s="57"/>
      <c r="F78" s="57"/>
      <c r="G78" s="57"/>
    </row>
    <row r="79" spans="1:7" ht="15" x14ac:dyDescent="0.25">
      <c r="A79" s="57"/>
      <c r="B79" s="57"/>
      <c r="C79" s="57"/>
      <c r="D79" s="57"/>
      <c r="E79" s="57"/>
      <c r="F79" s="57"/>
      <c r="G79" s="57"/>
    </row>
    <row r="80" spans="1:7" ht="15" x14ac:dyDescent="0.25">
      <c r="A80" s="57"/>
      <c r="B80" s="57"/>
      <c r="C80" s="57"/>
      <c r="D80" s="57"/>
      <c r="E80" s="57"/>
      <c r="F80" s="57"/>
      <c r="G80" s="57"/>
    </row>
    <row r="81" spans="1:7" ht="15" x14ac:dyDescent="0.25">
      <c r="A81" s="57"/>
      <c r="B81" s="57"/>
      <c r="C81" s="57"/>
      <c r="D81" s="57"/>
      <c r="E81" s="57"/>
      <c r="F81" s="57"/>
      <c r="G81" s="57"/>
    </row>
    <row r="82" spans="1:7" ht="15" x14ac:dyDescent="0.25">
      <c r="A82" s="57"/>
      <c r="B82" s="57"/>
      <c r="C82" s="57"/>
      <c r="D82" s="57"/>
      <c r="E82" s="57"/>
      <c r="F82" s="57"/>
      <c r="G82" s="57"/>
    </row>
    <row r="83" spans="1:7" ht="15" x14ac:dyDescent="0.25">
      <c r="A83" s="57"/>
      <c r="B83" s="57"/>
      <c r="C83" s="57"/>
      <c r="D83" s="57"/>
      <c r="E83" s="57"/>
      <c r="F83" s="57"/>
      <c r="G83" s="57"/>
    </row>
    <row r="84" spans="1:7" ht="15" x14ac:dyDescent="0.25">
      <c r="A84" s="57"/>
      <c r="B84" s="57"/>
      <c r="C84" s="57"/>
      <c r="D84" s="57"/>
      <c r="E84" s="57"/>
      <c r="F84" s="57"/>
      <c r="G84" s="57"/>
    </row>
    <row r="85" spans="1:7" ht="15" x14ac:dyDescent="0.25">
      <c r="A85" s="57"/>
      <c r="B85" s="57"/>
      <c r="C85" s="57"/>
      <c r="D85" s="57"/>
      <c r="E85" s="57"/>
      <c r="F85" s="57"/>
      <c r="G85" s="57"/>
    </row>
    <row r="86" spans="1:7" ht="15" x14ac:dyDescent="0.25">
      <c r="A86" s="57"/>
      <c r="B86" s="57"/>
      <c r="C86" s="57"/>
      <c r="D86" s="57"/>
      <c r="E86" s="57"/>
      <c r="F86" s="57"/>
      <c r="G86" s="57"/>
    </row>
    <row r="87" spans="1:7" ht="15" x14ac:dyDescent="0.25">
      <c r="A87" s="57"/>
      <c r="B87" s="57"/>
      <c r="C87" s="57"/>
      <c r="D87" s="57"/>
      <c r="E87" s="57"/>
      <c r="F87" s="57"/>
      <c r="G87" s="57"/>
    </row>
    <row r="88" spans="1:7" ht="15" x14ac:dyDescent="0.25">
      <c r="A88" s="57"/>
      <c r="B88" s="72"/>
      <c r="C88" s="72"/>
      <c r="D88" s="72"/>
      <c r="E88" s="72"/>
      <c r="F88" s="72"/>
      <c r="G88" s="72"/>
    </row>
    <row r="89" spans="1:7" ht="15" x14ac:dyDescent="0.25">
      <c r="A89" s="57"/>
      <c r="B89" s="72"/>
      <c r="C89" s="72"/>
      <c r="D89" s="72"/>
      <c r="E89" s="72"/>
      <c r="F89" s="72"/>
      <c r="G89" s="72"/>
    </row>
    <row r="90" spans="1:7" ht="15" x14ac:dyDescent="0.25">
      <c r="A90" s="57"/>
      <c r="B90" s="72"/>
      <c r="C90" s="72"/>
      <c r="D90" s="72"/>
      <c r="E90" s="72"/>
      <c r="F90" s="72"/>
      <c r="G90" s="72"/>
    </row>
    <row r="91" spans="1:7" ht="15" x14ac:dyDescent="0.25">
      <c r="A91" s="57"/>
      <c r="B91" s="72"/>
      <c r="C91" s="72"/>
      <c r="D91" s="72"/>
      <c r="E91" s="72"/>
      <c r="F91" s="72"/>
      <c r="G91" s="72"/>
    </row>
    <row r="92" spans="1:7" ht="15" x14ac:dyDescent="0.25">
      <c r="A92" s="57"/>
      <c r="B92" s="82"/>
      <c r="C92" s="82"/>
      <c r="D92" s="82"/>
      <c r="E92" s="82"/>
      <c r="F92" s="82"/>
      <c r="G92" s="82"/>
    </row>
    <row r="93" spans="1:7" ht="15" x14ac:dyDescent="0.25">
      <c r="B93" s="83"/>
      <c r="C93" s="83"/>
      <c r="D93" s="83"/>
      <c r="E93" s="83"/>
      <c r="F93" s="84"/>
      <c r="G93" s="83"/>
    </row>
  </sheetData>
  <sheetProtection algorithmName="SHA-512" hashValue="8o0OTb1lkyBSBfMi2YVaKJq47Fu5PYNwdZmeQoFCsmfk6ycWFKaJ7Hn61MBbBm0g9Fqpx2DzyGoOirL0Wn72FQ==" saltValue="On6grCZYu+/J33f8EjNR3A==" spinCount="100000" sheet="1" selectLockedCells="1"/>
  <mergeCells count="3">
    <mergeCell ref="B58:G58"/>
    <mergeCell ref="A1:G1"/>
    <mergeCell ref="E2:H2"/>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ECFF1-EBAE-4099-88AA-F6A1E4775D2A}">
  <sheetPr>
    <pageSetUpPr fitToPage="1"/>
  </sheetPr>
  <dimension ref="A1:R95"/>
  <sheetViews>
    <sheetView zoomScaleNormal="100" workbookViewId="0">
      <pane xSplit="7" ySplit="18" topLeftCell="H19" activePane="bottomRight" state="frozen"/>
      <selection pane="topRight" activeCell="H1" sqref="H1"/>
      <selection pane="bottomLeft" activeCell="A19" sqref="A19"/>
      <selection pane="bottomRight" activeCell="H8" sqref="H8"/>
    </sheetView>
  </sheetViews>
  <sheetFormatPr defaultColWidth="9.109375" defaultRowHeight="13.2" x14ac:dyDescent="0.25"/>
  <cols>
    <col min="1" max="1" width="3.5546875" style="54" customWidth="1"/>
    <col min="2" max="2" width="20" style="54" customWidth="1"/>
    <col min="3" max="3" width="12.88671875" style="54" customWidth="1"/>
    <col min="4" max="4" width="13" style="54" bestFit="1" customWidth="1"/>
    <col min="5" max="5" width="13.33203125" style="54" customWidth="1"/>
    <col min="6" max="6" width="6.109375" style="54" customWidth="1"/>
    <col min="7" max="7" width="16" style="54" bestFit="1" customWidth="1"/>
    <col min="8" max="8" width="11.88671875" style="54" customWidth="1"/>
    <col min="9" max="10" width="11.6640625" style="54" customWidth="1"/>
    <col min="11" max="11" width="11.44140625" style="54" customWidth="1"/>
    <col min="12" max="12" width="11.88671875" style="54" customWidth="1"/>
    <col min="13" max="13" width="12.44140625" style="54" customWidth="1"/>
    <col min="14" max="14" width="12" style="54" customWidth="1"/>
    <col min="15" max="16" width="11.6640625" style="54" customWidth="1"/>
    <col min="17" max="16384" width="9.109375" style="54"/>
  </cols>
  <sheetData>
    <row r="1" spans="1:18" ht="55.5" customHeight="1" x14ac:dyDescent="0.25">
      <c r="A1" s="190"/>
      <c r="B1" s="190"/>
      <c r="C1" s="190"/>
      <c r="D1" s="190"/>
      <c r="E1" s="190"/>
      <c r="F1" s="190"/>
      <c r="G1" s="190"/>
      <c r="H1" s="56"/>
    </row>
    <row r="2" spans="1:18" ht="22.8" x14ac:dyDescent="0.4">
      <c r="A2" s="152"/>
      <c r="B2" s="153" t="s">
        <v>24</v>
      </c>
      <c r="C2" s="152"/>
      <c r="D2" s="152"/>
      <c r="E2" s="196"/>
      <c r="F2" s="197"/>
      <c r="G2" s="197"/>
      <c r="H2" s="197"/>
      <c r="K2" s="154">
        <v>5</v>
      </c>
      <c r="P2" s="154">
        <v>10</v>
      </c>
      <c r="Q2" s="56"/>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56"/>
      <c r="B4" s="56"/>
      <c r="C4" s="56"/>
      <c r="D4" s="56"/>
      <c r="E4" s="56"/>
      <c r="F4" s="56"/>
      <c r="G4" s="56"/>
    </row>
    <row r="5" spans="1:18" ht="1.5" customHeight="1" x14ac:dyDescent="0.25">
      <c r="A5" s="56"/>
      <c r="B5" s="57"/>
      <c r="C5" s="56"/>
      <c r="D5" s="58"/>
      <c r="E5" s="56"/>
      <c r="F5" s="56"/>
      <c r="G5" s="56"/>
    </row>
    <row r="6" spans="1:18" ht="15" x14ac:dyDescent="0.25">
      <c r="A6" s="57"/>
      <c r="B6" s="57" t="s">
        <v>21</v>
      </c>
      <c r="C6" s="57"/>
      <c r="D6" s="130"/>
      <c r="E6" s="131"/>
      <c r="F6" s="57"/>
      <c r="G6" s="132">
        <f>'p1 one year'!D6*(1+'Data to enter'!F4)</f>
        <v>500000</v>
      </c>
      <c r="H6" s="132">
        <f>G6*(1+'Data to enter'!G4)</f>
        <v>500000</v>
      </c>
      <c r="I6" s="132">
        <f>H6*(1+'Data to enter'!H4)</f>
        <v>500000</v>
      </c>
      <c r="J6" s="132">
        <f>I6*(1+'Data to enter'!I4)</f>
        <v>512499.99999999994</v>
      </c>
      <c r="K6" s="132">
        <f>J6*(1+'Data to enter'!J4)</f>
        <v>538125</v>
      </c>
      <c r="L6" s="132">
        <f>K6*(1+'Data to enter'!K4)</f>
        <v>575793.75</v>
      </c>
      <c r="M6" s="132">
        <f>L6*(1+'Data to enter'!L4)</f>
        <v>627615.1875</v>
      </c>
      <c r="N6" s="132">
        <f>M6*(1+'Data to enter'!M4)</f>
        <v>696652.85812500003</v>
      </c>
      <c r="O6" s="132">
        <f>N6*(1+'Data to enter'!N4)</f>
        <v>801150.78684374993</v>
      </c>
      <c r="P6" s="132">
        <f>O6*(1+'Data to enter'!O4)</f>
        <v>881265.86552812497</v>
      </c>
    </row>
    <row r="7" spans="1:18" ht="15" x14ac:dyDescent="0.25">
      <c r="A7" s="57"/>
      <c r="B7" s="57"/>
      <c r="C7" s="57"/>
      <c r="D7" s="131"/>
      <c r="E7" s="130"/>
      <c r="F7" s="57"/>
      <c r="G7" s="111"/>
      <c r="H7" s="95"/>
      <c r="I7" s="95"/>
      <c r="J7" s="95"/>
      <c r="K7" s="95"/>
      <c r="L7" s="95"/>
      <c r="M7" s="95"/>
      <c r="N7" s="95"/>
      <c r="O7" s="95"/>
      <c r="P7" s="95"/>
    </row>
    <row r="8" spans="1:18" ht="15" x14ac:dyDescent="0.25">
      <c r="A8" s="57"/>
      <c r="B8" s="57" t="s">
        <v>59</v>
      </c>
      <c r="C8" s="57"/>
      <c r="D8" s="131"/>
      <c r="E8" s="130"/>
      <c r="F8" s="57"/>
      <c r="G8" s="133">
        <f>'p1 one year'!E10</f>
        <v>0</v>
      </c>
      <c r="H8" s="116"/>
      <c r="I8" s="116"/>
      <c r="J8" s="116"/>
      <c r="K8" s="116"/>
      <c r="L8" s="116"/>
      <c r="M8" s="116"/>
      <c r="N8" s="116"/>
      <c r="O8" s="116"/>
      <c r="P8" s="116"/>
      <c r="Q8" s="134"/>
      <c r="R8" s="134">
        <f>SUM(G8:P8)</f>
        <v>0</v>
      </c>
    </row>
    <row r="9" spans="1:18" ht="15" x14ac:dyDescent="0.25">
      <c r="A9" s="57"/>
      <c r="B9" s="57"/>
      <c r="C9" s="57"/>
      <c r="D9" s="131"/>
      <c r="E9" s="131"/>
      <c r="F9" s="57"/>
      <c r="G9" s="111"/>
      <c r="H9" s="95"/>
      <c r="I9" s="95"/>
      <c r="J9" s="95"/>
      <c r="K9" s="95"/>
      <c r="L9" s="95"/>
      <c r="M9" s="95"/>
      <c r="N9" s="95"/>
      <c r="O9" s="95"/>
      <c r="P9" s="95"/>
    </row>
    <row r="10" spans="1:18" ht="15" x14ac:dyDescent="0.25">
      <c r="A10" s="57"/>
      <c r="B10" s="60" t="s">
        <v>9</v>
      </c>
      <c r="C10" s="57"/>
      <c r="D10" s="131"/>
      <c r="E10" s="130"/>
      <c r="F10" s="57"/>
      <c r="G10" s="111">
        <f>'p1 one year'!E12</f>
        <v>500660</v>
      </c>
      <c r="H10" s="111">
        <f>G10-H8</f>
        <v>500660</v>
      </c>
      <c r="I10" s="111">
        <f t="shared" ref="I10:P10" si="0">H10-I8</f>
        <v>500660</v>
      </c>
      <c r="J10" s="111">
        <f t="shared" si="0"/>
        <v>500660</v>
      </c>
      <c r="K10" s="111">
        <f t="shared" si="0"/>
        <v>500660</v>
      </c>
      <c r="L10" s="111">
        <f t="shared" si="0"/>
        <v>500660</v>
      </c>
      <c r="M10" s="111">
        <f t="shared" si="0"/>
        <v>500660</v>
      </c>
      <c r="N10" s="111">
        <f t="shared" si="0"/>
        <v>500660</v>
      </c>
      <c r="O10" s="111">
        <f t="shared" si="0"/>
        <v>500660</v>
      </c>
      <c r="P10" s="111">
        <f t="shared" si="0"/>
        <v>500660</v>
      </c>
    </row>
    <row r="11" spans="1:18" ht="8.25" customHeight="1" x14ac:dyDescent="0.25">
      <c r="A11" s="57"/>
      <c r="B11" s="57"/>
      <c r="C11" s="57"/>
      <c r="D11" s="58"/>
      <c r="E11" s="58"/>
      <c r="F11" s="57"/>
      <c r="G11" s="111"/>
      <c r="H11" s="95"/>
      <c r="I11" s="95"/>
      <c r="J11" s="95"/>
      <c r="K11" s="95"/>
      <c r="L11" s="95"/>
      <c r="M11" s="95"/>
      <c r="N11" s="95"/>
      <c r="O11" s="95"/>
      <c r="P11" s="95"/>
    </row>
    <row r="12" spans="1:18" ht="17.399999999999999" x14ac:dyDescent="0.3">
      <c r="A12" s="57"/>
      <c r="B12" s="61" t="s">
        <v>0</v>
      </c>
      <c r="C12" s="57"/>
      <c r="D12" s="57"/>
      <c r="E12" s="57"/>
      <c r="F12" s="57"/>
      <c r="G12" s="111"/>
      <c r="H12" s="95"/>
      <c r="I12" s="95"/>
      <c r="J12" s="95"/>
      <c r="K12" s="95"/>
      <c r="L12" s="95"/>
      <c r="M12" s="95"/>
      <c r="N12" s="95"/>
      <c r="O12" s="95"/>
      <c r="P12" s="95"/>
    </row>
    <row r="13" spans="1:18" ht="8.25" customHeight="1" x14ac:dyDescent="0.25">
      <c r="A13" s="57"/>
      <c r="B13" s="57"/>
      <c r="C13" s="57"/>
      <c r="D13" s="57"/>
      <c r="E13" s="57"/>
      <c r="F13" s="57"/>
      <c r="G13" s="111"/>
      <c r="H13" s="95"/>
      <c r="I13" s="95"/>
      <c r="J13" s="95"/>
      <c r="K13" s="95"/>
      <c r="L13" s="95"/>
      <c r="M13" s="95"/>
      <c r="N13" s="95"/>
      <c r="O13" s="95"/>
      <c r="P13" s="95"/>
    </row>
    <row r="14" spans="1:18" ht="15" x14ac:dyDescent="0.25">
      <c r="A14" s="57"/>
      <c r="B14" s="57" t="s">
        <v>27</v>
      </c>
      <c r="C14" s="57" t="s">
        <v>25</v>
      </c>
      <c r="D14" s="68">
        <f>'p1 one year'!D16</f>
        <v>51</v>
      </c>
      <c r="E14" s="57"/>
      <c r="F14" s="57"/>
      <c r="G14" s="111">
        <f>D14*D15</f>
        <v>23205</v>
      </c>
      <c r="H14" s="132">
        <f>G14*(1+'Data to enter'!F6)</f>
        <v>23901.15</v>
      </c>
      <c r="I14" s="132">
        <f>H14*(1+'Data to enter'!G6)</f>
        <v>24618.184500000003</v>
      </c>
      <c r="J14" s="132">
        <f>I14*(1+'Data to enter'!H6)</f>
        <v>25356.730035000004</v>
      </c>
      <c r="K14" s="132">
        <f>J14*(1+'Data to enter'!I6)</f>
        <v>26117.431936050005</v>
      </c>
      <c r="L14" s="132">
        <f>K14*(1+'Data to enter'!J6)</f>
        <v>26900.954894131504</v>
      </c>
      <c r="M14" s="132">
        <f>L14*(1+'Data to enter'!K6)</f>
        <v>27707.983540955451</v>
      </c>
      <c r="N14" s="132">
        <f>M14*(1+'Data to enter'!L6)</f>
        <v>28539.223047184114</v>
      </c>
      <c r="O14" s="132">
        <f>N14*(1+'Data to enter'!M6)</f>
        <v>29395.399738599637</v>
      </c>
      <c r="P14" s="132">
        <f>O14*(1+'Data to enter'!N6)</f>
        <v>30277.261730757626</v>
      </c>
    </row>
    <row r="15" spans="1:18" ht="15" x14ac:dyDescent="0.25">
      <c r="A15" s="57"/>
      <c r="B15" s="57"/>
      <c r="C15" s="57" t="s">
        <v>26</v>
      </c>
      <c r="D15" s="135">
        <f>'p1 one year'!D17</f>
        <v>455</v>
      </c>
      <c r="E15" s="57"/>
      <c r="F15" s="57"/>
      <c r="G15" s="57"/>
    </row>
    <row r="16" spans="1:18" ht="15" x14ac:dyDescent="0.25">
      <c r="A16" s="57"/>
      <c r="B16" s="57"/>
      <c r="C16" s="57"/>
      <c r="D16" s="57" t="s">
        <v>11</v>
      </c>
      <c r="E16" s="57"/>
      <c r="F16" s="57"/>
      <c r="G16" s="62">
        <f>G14/G6</f>
        <v>4.641E-2</v>
      </c>
    </row>
    <row r="17" spans="1:16" ht="6.75" customHeight="1" x14ac:dyDescent="0.25">
      <c r="A17" s="57"/>
      <c r="B17" s="57"/>
      <c r="C17" s="57"/>
      <c r="D17" s="57"/>
      <c r="E17" s="57"/>
      <c r="F17" s="57"/>
      <c r="G17" s="57"/>
    </row>
    <row r="18" spans="1:16" ht="24" customHeight="1" x14ac:dyDescent="0.3">
      <c r="A18" s="57"/>
      <c r="B18" s="64" t="s">
        <v>1</v>
      </c>
      <c r="C18" s="65"/>
      <c r="D18" s="57"/>
      <c r="E18" s="57"/>
      <c r="F18" s="57"/>
      <c r="G18" s="57"/>
    </row>
    <row r="19" spans="1:16" ht="15" x14ac:dyDescent="0.25">
      <c r="A19" s="57"/>
      <c r="B19" s="57"/>
      <c r="C19" s="57"/>
      <c r="D19" s="57"/>
      <c r="E19" s="57"/>
      <c r="F19" s="57"/>
      <c r="G19" s="57"/>
    </row>
    <row r="20" spans="1:16" ht="15" x14ac:dyDescent="0.25">
      <c r="A20" s="57"/>
      <c r="B20" s="57" t="s">
        <v>7</v>
      </c>
      <c r="C20" s="57"/>
      <c r="D20" s="57"/>
      <c r="E20" s="136"/>
      <c r="F20" s="136"/>
      <c r="G20" s="137">
        <f>'p1 one year'!G22</f>
        <v>1700</v>
      </c>
      <c r="H20" s="132">
        <f>G20*(1+'Data to enter'!F8)</f>
        <v>1751</v>
      </c>
      <c r="I20" s="132">
        <f>H20*(1+'Data to enter'!G8)</f>
        <v>1803.53</v>
      </c>
      <c r="J20" s="132">
        <f>I20*(1+'Data to enter'!H8)</f>
        <v>1857.6359</v>
      </c>
      <c r="K20" s="132">
        <f>J20*(1+'Data to enter'!I8)</f>
        <v>1913.364977</v>
      </c>
      <c r="L20" s="132">
        <f>K20*(1+'Data to enter'!J8)</f>
        <v>1970.7659263099999</v>
      </c>
      <c r="M20" s="132">
        <f>L20*(1+'Data to enter'!K8)</f>
        <v>2029.8889040992999</v>
      </c>
      <c r="N20" s="132">
        <f>M20*(1+'Data to enter'!L8)</f>
        <v>2090.785571222279</v>
      </c>
      <c r="O20" s="132">
        <f>N20*(1+'Data to enter'!M8)</f>
        <v>2153.5091383589474</v>
      </c>
      <c r="P20" s="132">
        <f>O20*(1+'Data to enter'!N8)</f>
        <v>2218.1144125097157</v>
      </c>
    </row>
    <row r="21" spans="1:16" ht="15" x14ac:dyDescent="0.25">
      <c r="A21" s="57"/>
      <c r="B21" s="57" t="s">
        <v>8</v>
      </c>
      <c r="C21" s="57"/>
      <c r="D21" s="57"/>
      <c r="E21" s="136"/>
      <c r="F21" s="136"/>
      <c r="G21" s="137">
        <f>'p1 one year'!G23</f>
        <v>50</v>
      </c>
      <c r="H21" s="132">
        <f>G21*(1+'Data to enter'!F8)</f>
        <v>51.5</v>
      </c>
      <c r="I21" s="132">
        <f>H21*(1+'Data to enter'!G8)</f>
        <v>53.045000000000002</v>
      </c>
      <c r="J21" s="132">
        <f>I21*(1+'Data to enter'!H8)</f>
        <v>54.63635</v>
      </c>
      <c r="K21" s="132">
        <f>J21*(1+'Data to enter'!I8)</f>
        <v>56.275440500000002</v>
      </c>
      <c r="L21" s="132">
        <f>K21*(1+'Data to enter'!J8)</f>
        <v>57.963703715000001</v>
      </c>
      <c r="M21" s="132">
        <f>L21*(1+'Data to enter'!K8)</f>
        <v>59.702614826450002</v>
      </c>
      <c r="N21" s="132">
        <f>M21*(1+'Data to enter'!L8)</f>
        <v>61.493693271243501</v>
      </c>
      <c r="O21" s="132">
        <f>N21*(1+'Data to enter'!M8)</f>
        <v>63.338504069380811</v>
      </c>
      <c r="P21" s="132">
        <f>O21*(1+'Data to enter'!N8)</f>
        <v>65.238659191462233</v>
      </c>
    </row>
    <row r="22" spans="1:16" ht="15" x14ac:dyDescent="0.25">
      <c r="A22" s="57"/>
      <c r="B22" s="57" t="s">
        <v>14</v>
      </c>
      <c r="C22" s="57"/>
      <c r="D22" s="57"/>
      <c r="E22" s="136"/>
      <c r="F22" s="136"/>
      <c r="G22" s="137">
        <f>'p1 one year'!G24</f>
        <v>1000</v>
      </c>
      <c r="H22" s="132">
        <f>G22*(1+'Data to enter'!F8)</f>
        <v>1030</v>
      </c>
      <c r="I22" s="132">
        <f>H22*(1+'Data to enter'!G8)</f>
        <v>1060.9000000000001</v>
      </c>
      <c r="J22" s="132">
        <f>I22*(1+'Data to enter'!H8)</f>
        <v>1092.7270000000001</v>
      </c>
      <c r="K22" s="132">
        <f>J22*(1+'Data to enter'!I8)</f>
        <v>1125.50881</v>
      </c>
      <c r="L22" s="132">
        <f>K22*(1+'Data to enter'!J8)</f>
        <v>1159.2740743000002</v>
      </c>
      <c r="M22" s="132">
        <f>L22*(1+'Data to enter'!K8)</f>
        <v>1194.0522965290002</v>
      </c>
      <c r="N22" s="132">
        <f>M22*(1+'Data to enter'!L8)</f>
        <v>1229.8738654248702</v>
      </c>
      <c r="O22" s="132">
        <f>N22*(1+'Data to enter'!M8)</f>
        <v>1266.7700813876163</v>
      </c>
      <c r="P22" s="132">
        <f>O22*(1+'Data to enter'!N8)</f>
        <v>1304.7731838292448</v>
      </c>
    </row>
    <row r="23" spans="1:16" ht="15" x14ac:dyDescent="0.25">
      <c r="A23" s="57"/>
      <c r="B23" s="57" t="s">
        <v>2</v>
      </c>
      <c r="C23" s="57"/>
      <c r="D23" s="57"/>
      <c r="E23" s="136"/>
      <c r="F23" s="136"/>
      <c r="G23" s="137">
        <f>'p1 one year'!G25</f>
        <v>2250</v>
      </c>
      <c r="H23" s="132">
        <f>G23*(1+'Data to enter'!F8)</f>
        <v>2317.5</v>
      </c>
      <c r="I23" s="132">
        <f>H23*(1+'Data to enter'!G8)</f>
        <v>2387.0250000000001</v>
      </c>
      <c r="J23" s="132">
        <f>I23*(1+'Data to enter'!H8)</f>
        <v>2458.6357500000004</v>
      </c>
      <c r="K23" s="132">
        <f>J23*(1+'Data to enter'!I8)</f>
        <v>2532.3948225000004</v>
      </c>
      <c r="L23" s="132">
        <f>K23*(1+'Data to enter'!J8)</f>
        <v>2608.3666671750007</v>
      </c>
      <c r="M23" s="132">
        <f>L23*(1+'Data to enter'!K8)</f>
        <v>2686.6176671902508</v>
      </c>
      <c r="N23" s="132">
        <f>M23*(1+'Data to enter'!L8)</f>
        <v>2767.2161972059585</v>
      </c>
      <c r="O23" s="132">
        <f>N23*(1+'Data to enter'!M8)</f>
        <v>2850.2326831221371</v>
      </c>
      <c r="P23" s="132">
        <f>O23*(1+'Data to enter'!N8)</f>
        <v>2935.7396636158014</v>
      </c>
    </row>
    <row r="24" spans="1:16" ht="15" x14ac:dyDescent="0.25">
      <c r="A24" s="57"/>
      <c r="B24" s="57" t="s">
        <v>28</v>
      </c>
      <c r="C24" s="57"/>
      <c r="D24" s="57" t="s">
        <v>29</v>
      </c>
      <c r="E24" s="138"/>
      <c r="F24" s="136"/>
      <c r="G24" s="111">
        <f>(G10/2*'Data to enter'!F10)+('no interest p1 10 year'!G10/2*'Data to enter'!F11)</f>
        <v>13217.423999999999</v>
      </c>
      <c r="H24" s="111">
        <f>(H10/2*'Data to enter'!G10)+('no interest p1 10 year'!H10/2*'Data to enter'!G11)</f>
        <v>13492.787</v>
      </c>
      <c r="I24" s="111">
        <f>(I10/2*'Data to enter'!H10)+('no interest p1 10 year'!I10/2*'Data to enter'!H11)</f>
        <v>13743.117</v>
      </c>
      <c r="J24" s="111">
        <f>(J10/2*'Data to enter'!I10)+('no interest p1 10 year'!J10/2*'Data to enter'!I11)</f>
        <v>14368.941999999999</v>
      </c>
      <c r="K24" s="139">
        <f>(K10/2*'Data to enter'!J10)+('no interest p1 10 year'!K10/2*'Data to enter'!J11)</f>
        <v>14994.767</v>
      </c>
      <c r="L24" s="139">
        <f>(L10/2*'Data to enter'!K10)+('no interest p1 10 year'!L10/2*'Data to enter'!K11)</f>
        <v>18148.925000000003</v>
      </c>
      <c r="M24" s="111">
        <f>(M10/2*'Data to enter'!L10)+('no interest p1 10 year'!M10/2*'Data to enter'!L11)</f>
        <v>18774.75</v>
      </c>
      <c r="N24" s="111">
        <f>(N10/2*'Data to enter'!M10)+('no interest p1 10 year'!N10/2*'Data to enter'!M11)</f>
        <v>19400.575000000001</v>
      </c>
      <c r="O24" s="111">
        <f>(O10/2*'Data to enter'!N10)+('no interest p1 10 year'!O10/2*'Data to enter'!N11)</f>
        <v>20026.400000000001</v>
      </c>
      <c r="P24" s="111">
        <f>(P10/2*'Data to enter'!O10)+('no interest p1 10 year'!P10/2*'Data to enter'!O11)</f>
        <v>20652.225000000002</v>
      </c>
    </row>
    <row r="25" spans="1:16" ht="15" x14ac:dyDescent="0.25">
      <c r="A25" s="57"/>
      <c r="B25" s="57" t="s">
        <v>95</v>
      </c>
      <c r="C25" s="57"/>
      <c r="D25" s="57"/>
      <c r="E25" s="136"/>
      <c r="F25" s="136"/>
      <c r="G25" s="137">
        <f>'p1 one year'!G27</f>
        <v>2479.86</v>
      </c>
      <c r="H25" s="111">
        <f>G25*(1+'Data to enter'!F8)</f>
        <v>2554.2558000000004</v>
      </c>
      <c r="I25" s="111">
        <f>H25*(1+'Data to enter'!G8)</f>
        <v>2630.8834740000007</v>
      </c>
      <c r="J25" s="111">
        <f>I25*(1+'Data to enter'!H8)</f>
        <v>2709.8099782200006</v>
      </c>
      <c r="K25" s="111">
        <f>J25*(1+'Data to enter'!I8)</f>
        <v>2791.1042775666006</v>
      </c>
      <c r="L25" s="111">
        <f>K25*(1+'Data to enter'!J8)</f>
        <v>2874.8374058935988</v>
      </c>
      <c r="M25" s="111">
        <f>L25*(1+'Data to enter'!K8)</f>
        <v>2961.0825280704066</v>
      </c>
      <c r="N25" s="111">
        <f>M25*(1+'Data to enter'!L8)</f>
        <v>3049.9150039125188</v>
      </c>
      <c r="O25" s="111">
        <f>N25*(1+'Data to enter'!M8)</f>
        <v>3141.4124540298944</v>
      </c>
      <c r="P25" s="111">
        <f>O25*(1+'Data to enter'!N8)</f>
        <v>3235.6548276507915</v>
      </c>
    </row>
    <row r="26" spans="1:16" ht="15" x14ac:dyDescent="0.25">
      <c r="A26" s="57"/>
      <c r="B26" s="57" t="s">
        <v>3</v>
      </c>
      <c r="C26" s="57"/>
      <c r="D26" s="57"/>
      <c r="E26" s="136"/>
      <c r="F26" s="136"/>
      <c r="G26" s="137">
        <f>'p1 one year'!G28</f>
        <v>3000</v>
      </c>
      <c r="H26" s="111">
        <f>G26*(1+'Data to enter'!F8)</f>
        <v>3090</v>
      </c>
      <c r="I26" s="111">
        <f>H26*(1+'Data to enter'!G8)</f>
        <v>3182.7000000000003</v>
      </c>
      <c r="J26" s="111">
        <f>I26*(1+'Data to enter'!H8)</f>
        <v>3278.1810000000005</v>
      </c>
      <c r="K26" s="111">
        <f>J26*(1+'Data to enter'!I8)</f>
        <v>3376.5264300000008</v>
      </c>
      <c r="L26" s="111">
        <f>K26*(1+'Data to enter'!J8)</f>
        <v>3477.8222229000007</v>
      </c>
      <c r="M26" s="111">
        <f>L26*(1+'Data to enter'!K8)</f>
        <v>3582.1568895870009</v>
      </c>
      <c r="N26" s="111">
        <f>M26*(1+'Data to enter'!L8)</f>
        <v>3689.621596274611</v>
      </c>
      <c r="O26" s="111">
        <f>N26*(1+'Data to enter'!M8)</f>
        <v>3800.3102441628494</v>
      </c>
      <c r="P26" s="111">
        <f>O26*(1+'Data to enter'!N8)</f>
        <v>3914.3195514877348</v>
      </c>
    </row>
    <row r="27" spans="1:16" ht="15" x14ac:dyDescent="0.25">
      <c r="A27" s="57"/>
      <c r="B27" s="57" t="s">
        <v>6</v>
      </c>
      <c r="C27" s="57"/>
      <c r="D27" s="57"/>
      <c r="E27" s="136"/>
      <c r="F27" s="136"/>
      <c r="G27" s="137">
        <f>'p1 one year'!G29</f>
        <v>500</v>
      </c>
      <c r="H27" s="111">
        <f>G27*(1+'Data to enter'!F8)</f>
        <v>515</v>
      </c>
      <c r="I27" s="111">
        <f>H27*(1+'Data to enter'!G8)</f>
        <v>530.45000000000005</v>
      </c>
      <c r="J27" s="111">
        <f>I27*(1+'Data to enter'!H8)</f>
        <v>546.36350000000004</v>
      </c>
      <c r="K27" s="111">
        <f>J27*(1+'Data to enter'!I8)</f>
        <v>562.75440500000002</v>
      </c>
      <c r="L27" s="111">
        <f>K27*(1+'Data to enter'!J8)</f>
        <v>579.63703715000008</v>
      </c>
      <c r="M27" s="111">
        <f>L27*(1+'Data to enter'!K8)</f>
        <v>597.02614826450008</v>
      </c>
      <c r="N27" s="111">
        <f>M27*(1+'Data to enter'!L8)</f>
        <v>614.93693271243512</v>
      </c>
      <c r="O27" s="111">
        <f>N27*(1+'Data to enter'!M8)</f>
        <v>633.38504069380815</v>
      </c>
      <c r="P27" s="111">
        <f>O27*(1+'Data to enter'!N8)</f>
        <v>652.38659191462239</v>
      </c>
    </row>
    <row r="28" spans="1:16" ht="15" x14ac:dyDescent="0.25">
      <c r="A28" s="57"/>
      <c r="B28" s="57" t="s">
        <v>22</v>
      </c>
      <c r="C28" s="57"/>
      <c r="D28" s="57"/>
      <c r="E28" s="136"/>
      <c r="F28" s="136"/>
      <c r="G28" s="137">
        <f>'p1 one year'!G30</f>
        <v>100</v>
      </c>
      <c r="H28" s="111">
        <f>G28*(1+'Data to enter'!F8)</f>
        <v>103</v>
      </c>
      <c r="I28" s="111">
        <f>H28*(1+'Data to enter'!G8)</f>
        <v>106.09</v>
      </c>
      <c r="J28" s="111">
        <f>I28*(1+'Data to enter'!H8)</f>
        <v>109.2727</v>
      </c>
      <c r="K28" s="111">
        <f>J28*(1+'Data to enter'!I8)</f>
        <v>112.550881</v>
      </c>
      <c r="L28" s="111">
        <f>K28*(1+'Data to enter'!J8)</f>
        <v>115.92740743</v>
      </c>
      <c r="M28" s="111">
        <f>L28*(1+'Data to enter'!K8)</f>
        <v>119.4052296529</v>
      </c>
      <c r="N28" s="111">
        <f>M28*(1+'Data to enter'!L8)</f>
        <v>122.987386542487</v>
      </c>
      <c r="O28" s="111">
        <f>N28*(1+'Data to enter'!M8)</f>
        <v>126.67700813876162</v>
      </c>
      <c r="P28" s="111">
        <f>O28*(1+'Data to enter'!N8)</f>
        <v>130.47731838292447</v>
      </c>
    </row>
    <row r="29" spans="1:16" ht="15" x14ac:dyDescent="0.25">
      <c r="A29" s="57"/>
      <c r="B29" s="57" t="s">
        <v>23</v>
      </c>
      <c r="C29" s="57"/>
      <c r="D29" s="57"/>
      <c r="E29" s="136"/>
      <c r="F29" s="136"/>
      <c r="G29" s="137">
        <f>'p1 one year'!G31</f>
        <v>300</v>
      </c>
      <c r="H29" s="111">
        <f>G29*(1+'Data to enter'!F8)</f>
        <v>309</v>
      </c>
      <c r="I29" s="111">
        <f>H29*(1+'Data to enter'!G8)</f>
        <v>318.27</v>
      </c>
      <c r="J29" s="111">
        <f>I29*(1+'Data to enter'!H8)</f>
        <v>327.81810000000002</v>
      </c>
      <c r="K29" s="111">
        <f>J29*(1+'Data to enter'!I8)</f>
        <v>337.65264300000001</v>
      </c>
      <c r="L29" s="111">
        <f>K29*(1+'Data to enter'!J8)</f>
        <v>347.78222228999999</v>
      </c>
      <c r="M29" s="111">
        <f>L29*(1+'Data to enter'!K8)</f>
        <v>358.21568895870001</v>
      </c>
      <c r="N29" s="111">
        <f>M29*(1+'Data to enter'!L8)</f>
        <v>368.96215962746101</v>
      </c>
      <c r="O29" s="111">
        <f>N29*(1+'Data to enter'!M8)</f>
        <v>380.03102441628482</v>
      </c>
      <c r="P29" s="111">
        <f>O29*(1+'Data to enter'!N8)</f>
        <v>391.4319551487734</v>
      </c>
    </row>
    <row r="30" spans="1:16" ht="15" x14ac:dyDescent="0.25">
      <c r="A30" s="57"/>
      <c r="B30" s="57" t="s">
        <v>5</v>
      </c>
      <c r="C30" s="57"/>
      <c r="D30" s="57"/>
      <c r="E30" s="136"/>
      <c r="F30" s="136"/>
      <c r="G30" s="137">
        <f>'p1 one year'!G32</f>
        <v>500</v>
      </c>
      <c r="H30" s="111">
        <f>G30*(1+'Data to enter'!F8)</f>
        <v>515</v>
      </c>
      <c r="I30" s="111">
        <f>H30*(1+'Data to enter'!G8)</f>
        <v>530.45000000000005</v>
      </c>
      <c r="J30" s="111">
        <f>I30*(1+'Data to enter'!H8)</f>
        <v>546.36350000000004</v>
      </c>
      <c r="K30" s="111">
        <f>J30*(1+'Data to enter'!I8)</f>
        <v>562.75440500000002</v>
      </c>
      <c r="L30" s="111">
        <f>K30*(1+'Data to enter'!J8)</f>
        <v>579.63703715000008</v>
      </c>
      <c r="M30" s="111">
        <f>L30*(1+'Data to enter'!K8)</f>
        <v>597.02614826450008</v>
      </c>
      <c r="N30" s="111">
        <f>M30*(1+'Data to enter'!L8)</f>
        <v>614.93693271243512</v>
      </c>
      <c r="O30" s="111">
        <f>N30*(1+'Data to enter'!M8)</f>
        <v>633.38504069380815</v>
      </c>
      <c r="P30" s="111">
        <f>O30*(1+'Data to enter'!N8)</f>
        <v>652.38659191462239</v>
      </c>
    </row>
    <row r="31" spans="1:16" ht="15" x14ac:dyDescent="0.25">
      <c r="A31" s="57"/>
      <c r="B31" s="57"/>
      <c r="C31" s="57"/>
      <c r="D31" s="57"/>
      <c r="E31" s="57"/>
      <c r="F31" s="57"/>
      <c r="G31" s="57"/>
    </row>
    <row r="32" spans="1:16" ht="17.399999999999999" x14ac:dyDescent="0.3">
      <c r="A32" s="57"/>
      <c r="B32" s="64" t="s">
        <v>4</v>
      </c>
      <c r="C32" s="64"/>
      <c r="D32" s="57"/>
      <c r="E32" s="57"/>
      <c r="F32" s="57"/>
      <c r="G32" s="140">
        <f>SUM(G20:G30)</f>
        <v>25097.284</v>
      </c>
      <c r="H32" s="140">
        <f t="shared" ref="H32:P32" si="1">SUM(H20:H30)</f>
        <v>25729.042799999999</v>
      </c>
      <c r="I32" s="140">
        <f t="shared" si="1"/>
        <v>26346.460474000003</v>
      </c>
      <c r="J32" s="140">
        <f t="shared" si="1"/>
        <v>27350.385778219999</v>
      </c>
      <c r="K32" s="140">
        <f t="shared" si="1"/>
        <v>28365.654091566601</v>
      </c>
      <c r="L32" s="140">
        <f t="shared" si="1"/>
        <v>31920.938704313608</v>
      </c>
      <c r="M32" s="140">
        <f t="shared" si="1"/>
        <v>32959.924115443006</v>
      </c>
      <c r="N32" s="140">
        <f t="shared" si="1"/>
        <v>34011.304338906302</v>
      </c>
      <c r="O32" s="140">
        <f t="shared" si="1"/>
        <v>35075.451219073482</v>
      </c>
      <c r="P32" s="140">
        <f t="shared" si="1"/>
        <v>36152.747755645687</v>
      </c>
    </row>
    <row r="33" spans="1:18" ht="15" x14ac:dyDescent="0.25">
      <c r="A33" s="57"/>
      <c r="B33" s="57"/>
      <c r="C33" s="57"/>
      <c r="D33" s="57"/>
      <c r="E33" s="57"/>
      <c r="F33" s="57"/>
      <c r="G33" s="57"/>
    </row>
    <row r="34" spans="1:18" ht="15" x14ac:dyDescent="0.25">
      <c r="A34" s="141"/>
      <c r="B34" s="142" t="s">
        <v>10</v>
      </c>
      <c r="C34" s="142"/>
      <c r="D34" s="142"/>
      <c r="E34" s="141"/>
      <c r="F34" s="141"/>
      <c r="G34" s="143">
        <f>G14-G32</f>
        <v>-1892.2839999999997</v>
      </c>
      <c r="H34" s="143">
        <f t="shared" ref="H34:P34" si="2">H14-H32</f>
        <v>-1827.8927999999978</v>
      </c>
      <c r="I34" s="143">
        <f t="shared" si="2"/>
        <v>-1728.2759740000001</v>
      </c>
      <c r="J34" s="143">
        <f t="shared" si="2"/>
        <v>-1993.6557432199952</v>
      </c>
      <c r="K34" s="143">
        <f t="shared" si="2"/>
        <v>-2248.2221555165961</v>
      </c>
      <c r="L34" s="143">
        <f t="shared" si="2"/>
        <v>-5019.9838101821042</v>
      </c>
      <c r="M34" s="143">
        <f t="shared" si="2"/>
        <v>-5251.9405744875548</v>
      </c>
      <c r="N34" s="143">
        <f t="shared" si="2"/>
        <v>-5472.0812917221883</v>
      </c>
      <c r="O34" s="143">
        <f t="shared" si="2"/>
        <v>-5680.051480473845</v>
      </c>
      <c r="P34" s="143">
        <f t="shared" si="2"/>
        <v>-5875.4860248880614</v>
      </c>
    </row>
    <row r="35" spans="1:18" ht="15" x14ac:dyDescent="0.25">
      <c r="A35" s="136"/>
      <c r="B35" s="68"/>
      <c r="C35" s="68"/>
      <c r="D35" s="68"/>
      <c r="E35" s="136"/>
      <c r="F35" s="136"/>
      <c r="G35" s="135"/>
      <c r="H35" s="135"/>
      <c r="I35" s="135"/>
      <c r="J35" s="135"/>
      <c r="K35" s="135"/>
      <c r="L35" s="135"/>
      <c r="M35" s="135"/>
      <c r="N35" s="135"/>
      <c r="O35" s="135"/>
      <c r="P35" s="135"/>
    </row>
    <row r="36" spans="1:18" ht="15" x14ac:dyDescent="0.25">
      <c r="A36" s="183"/>
      <c r="B36" s="184" t="s">
        <v>147</v>
      </c>
      <c r="C36" s="184"/>
      <c r="D36" s="184"/>
      <c r="E36" s="183"/>
      <c r="F36" s="183"/>
      <c r="G36" s="185"/>
      <c r="H36" s="185">
        <f>H24/2*0.25</f>
        <v>1686.598375</v>
      </c>
      <c r="I36" s="185">
        <f>I24*0.25</f>
        <v>3435.77925</v>
      </c>
      <c r="J36" s="185">
        <f>J24/2</f>
        <v>7184.4709999999995</v>
      </c>
      <c r="K36" s="185">
        <f>K24*0.75</f>
        <v>11246.07525</v>
      </c>
      <c r="L36" s="185">
        <f>L24</f>
        <v>18148.925000000003</v>
      </c>
      <c r="M36" s="185">
        <f t="shared" ref="M36:P36" si="3">M24</f>
        <v>18774.75</v>
      </c>
      <c r="N36" s="185">
        <f t="shared" si="3"/>
        <v>19400.575000000001</v>
      </c>
      <c r="O36" s="185">
        <f t="shared" si="3"/>
        <v>20026.400000000001</v>
      </c>
      <c r="P36" s="185">
        <f t="shared" si="3"/>
        <v>20652.225000000002</v>
      </c>
    </row>
    <row r="37" spans="1:18" ht="15" x14ac:dyDescent="0.25">
      <c r="A37" s="57"/>
      <c r="B37" s="57"/>
      <c r="C37" s="57"/>
      <c r="D37" s="57"/>
      <c r="E37" s="57"/>
      <c r="F37" s="57"/>
      <c r="G37" s="57"/>
    </row>
    <row r="38" spans="1:18" ht="15" x14ac:dyDescent="0.25">
      <c r="A38" s="57"/>
      <c r="B38" s="60" t="s">
        <v>12</v>
      </c>
      <c r="C38" s="60"/>
      <c r="D38" s="57"/>
      <c r="E38" s="57" t="s">
        <v>15</v>
      </c>
      <c r="F38" s="57"/>
      <c r="G38" s="57"/>
    </row>
    <row r="39" spans="1:18" ht="15" x14ac:dyDescent="0.25">
      <c r="A39" s="57"/>
      <c r="B39" s="57"/>
      <c r="C39" s="57"/>
      <c r="D39" s="57"/>
      <c r="E39" s="57" t="s">
        <v>16</v>
      </c>
      <c r="F39" s="57"/>
      <c r="G39" s="144">
        <f>'p1 one year'!H39</f>
        <v>5000</v>
      </c>
      <c r="H39" s="144">
        <f>G39*0.75</f>
        <v>3750</v>
      </c>
      <c r="I39" s="144">
        <f t="shared" ref="I39:P39" si="4">H39*0.75</f>
        <v>2812.5</v>
      </c>
      <c r="J39" s="144">
        <f t="shared" si="4"/>
        <v>2109.375</v>
      </c>
      <c r="K39" s="144">
        <f t="shared" si="4"/>
        <v>1582.03125</v>
      </c>
      <c r="L39" s="144">
        <f t="shared" si="4"/>
        <v>1186.5234375</v>
      </c>
      <c r="M39" s="144">
        <f t="shared" si="4"/>
        <v>889.892578125</v>
      </c>
      <c r="N39" s="144">
        <f t="shared" si="4"/>
        <v>667.41943359375</v>
      </c>
      <c r="O39" s="144">
        <f t="shared" si="4"/>
        <v>500.5645751953125</v>
      </c>
      <c r="P39" s="144">
        <f t="shared" si="4"/>
        <v>375.42343139648438</v>
      </c>
    </row>
    <row r="40" spans="1:18" ht="15" x14ac:dyDescent="0.25">
      <c r="A40" s="57"/>
      <c r="B40" s="57"/>
      <c r="C40" s="57"/>
      <c r="D40" s="57"/>
      <c r="E40" s="57"/>
      <c r="F40" s="57"/>
      <c r="G40" s="57"/>
    </row>
    <row r="41" spans="1:18" ht="15" x14ac:dyDescent="0.25">
      <c r="A41" s="57"/>
      <c r="B41" s="57"/>
      <c r="C41" s="57"/>
      <c r="D41" s="57"/>
      <c r="E41" s="57"/>
      <c r="F41" s="57"/>
      <c r="G41" s="57"/>
    </row>
    <row r="42" spans="1:18" ht="15" x14ac:dyDescent="0.25">
      <c r="A42" s="57"/>
      <c r="B42" s="60" t="s">
        <v>13</v>
      </c>
      <c r="C42" s="60"/>
      <c r="D42" s="60"/>
      <c r="E42" s="60"/>
      <c r="F42" s="60"/>
      <c r="G42" s="66">
        <f>G34+G36-G39</f>
        <v>-6892.2839999999997</v>
      </c>
      <c r="H42" s="66">
        <f t="shared" ref="H42:P42" si="5">H34+H36-H39</f>
        <v>-3891.2944249999978</v>
      </c>
      <c r="I42" s="66">
        <f t="shared" si="5"/>
        <v>-1104.9967240000001</v>
      </c>
      <c r="J42" s="66">
        <f t="shared" si="5"/>
        <v>3081.4402567800043</v>
      </c>
      <c r="K42" s="66">
        <f t="shared" si="5"/>
        <v>7415.8218444834038</v>
      </c>
      <c r="L42" s="66">
        <f t="shared" si="5"/>
        <v>11942.417752317899</v>
      </c>
      <c r="M42" s="66">
        <f t="shared" si="5"/>
        <v>12632.916847387445</v>
      </c>
      <c r="N42" s="66">
        <f t="shared" si="5"/>
        <v>13261.074274684062</v>
      </c>
      <c r="O42" s="66">
        <f t="shared" si="5"/>
        <v>13845.783944330844</v>
      </c>
      <c r="P42" s="66">
        <f t="shared" si="5"/>
        <v>14401.315543715456</v>
      </c>
    </row>
    <row r="43" spans="1:18" ht="15" x14ac:dyDescent="0.25">
      <c r="A43" s="57"/>
      <c r="B43" s="60"/>
      <c r="C43" s="60"/>
      <c r="D43" s="60"/>
      <c r="E43" s="60"/>
      <c r="F43" s="60"/>
      <c r="G43" s="60"/>
    </row>
    <row r="44" spans="1:18" ht="17.399999999999999" x14ac:dyDescent="0.3">
      <c r="A44" s="57"/>
      <c r="B44" s="70" t="s">
        <v>30</v>
      </c>
      <c r="C44" s="60"/>
      <c r="D44" s="60"/>
      <c r="E44" s="138"/>
      <c r="F44" s="60"/>
      <c r="G44" s="66">
        <f>IF(G42&lt;0,0,-(G42*$G$45*$E$45)+-(G42*$G$46*$E$46))</f>
        <v>0</v>
      </c>
      <c r="H44" s="66">
        <f>IF(H42&lt;0,0,-(H42*$G$45*$E$45)+-(H42*$G$46*$E$46))</f>
        <v>0</v>
      </c>
      <c r="I44" s="66">
        <f t="shared" ref="I44:P44" si="6">IF(I42&lt;0,0,-(I42*$G$45*$E$45)+-(I42*$G$46*$E$46))</f>
        <v>0</v>
      </c>
      <c r="J44" s="66">
        <f t="shared" si="6"/>
        <v>-1012.0990523393923</v>
      </c>
      <c r="K44" s="66">
        <f t="shared" si="6"/>
        <v>-2435.7266848205741</v>
      </c>
      <c r="L44" s="66">
        <f t="shared" si="6"/>
        <v>-3922.4871107488143</v>
      </c>
      <c r="M44" s="66">
        <f t="shared" si="6"/>
        <v>-4149.2815385244066</v>
      </c>
      <c r="N44" s="66">
        <f t="shared" si="6"/>
        <v>-4355.5998455199806</v>
      </c>
      <c r="O44" s="66">
        <f t="shared" si="6"/>
        <v>-4547.647736515466</v>
      </c>
      <c r="P44" s="66">
        <f t="shared" si="6"/>
        <v>-4730.1120903333413</v>
      </c>
      <c r="Q44" s="95"/>
      <c r="R44" s="95">
        <f>SUM(H44:P44)</f>
        <v>-25152.954058801974</v>
      </c>
    </row>
    <row r="45" spans="1:18" ht="15" x14ac:dyDescent="0.25">
      <c r="A45" s="57"/>
      <c r="B45" s="60"/>
      <c r="C45" s="60" t="s">
        <v>32</v>
      </c>
      <c r="D45" s="60" t="s">
        <v>31</v>
      </c>
      <c r="E45" s="138">
        <f>'p1 one year'!E45</f>
        <v>0.33</v>
      </c>
      <c r="F45" s="60"/>
      <c r="G45" s="145">
        <f>'p1 one year'!G45</f>
        <v>0.99</v>
      </c>
      <c r="K45" s="146"/>
      <c r="L45" s="146"/>
      <c r="M45" s="146"/>
      <c r="N45" s="146"/>
    </row>
    <row r="46" spans="1:18" ht="15" x14ac:dyDescent="0.25">
      <c r="A46" s="57"/>
      <c r="B46" s="60"/>
      <c r="C46" s="60" t="s">
        <v>34</v>
      </c>
      <c r="D46" s="60"/>
      <c r="E46" s="138">
        <f>'p1 one year'!E46</f>
        <v>0.17499999999999999</v>
      </c>
      <c r="F46" s="60"/>
      <c r="G46" s="145">
        <f>'p1 one year'!G46</f>
        <v>0.01</v>
      </c>
    </row>
    <row r="47" spans="1:18" ht="15" x14ac:dyDescent="0.25">
      <c r="A47" s="57"/>
      <c r="B47" s="72"/>
      <c r="C47" s="72"/>
      <c r="D47" s="72"/>
      <c r="E47" s="72"/>
      <c r="F47" s="72"/>
      <c r="G47" s="72"/>
    </row>
    <row r="48" spans="1:18" ht="18" thickBot="1" x14ac:dyDescent="0.35">
      <c r="A48" s="57"/>
      <c r="B48" s="60" t="s">
        <v>36</v>
      </c>
      <c r="C48" s="72"/>
      <c r="D48" s="72"/>
      <c r="E48" s="72"/>
      <c r="F48" s="72"/>
      <c r="G48" s="147">
        <f t="shared" ref="G48:P48" si="7">G34+G44</f>
        <v>-1892.2839999999997</v>
      </c>
      <c r="H48" s="147">
        <f t="shared" si="7"/>
        <v>-1827.8927999999978</v>
      </c>
      <c r="I48" s="147">
        <f t="shared" si="7"/>
        <v>-1728.2759740000001</v>
      </c>
      <c r="J48" s="147">
        <f t="shared" si="7"/>
        <v>-3005.7547955593873</v>
      </c>
      <c r="K48" s="147">
        <f t="shared" si="7"/>
        <v>-4683.9488403371706</v>
      </c>
      <c r="L48" s="147">
        <f t="shared" si="7"/>
        <v>-8942.4709209309185</v>
      </c>
      <c r="M48" s="147">
        <f t="shared" si="7"/>
        <v>-9401.2221130119615</v>
      </c>
      <c r="N48" s="147">
        <f t="shared" si="7"/>
        <v>-9827.6811372421689</v>
      </c>
      <c r="O48" s="147">
        <f t="shared" si="7"/>
        <v>-10227.699216989311</v>
      </c>
      <c r="P48" s="147">
        <f t="shared" si="7"/>
        <v>-10605.598115221403</v>
      </c>
    </row>
    <row r="49" spans="1:18" ht="15.6" thickTop="1" x14ac:dyDescent="0.25">
      <c r="A49" s="57"/>
      <c r="B49" s="57"/>
      <c r="C49" s="57"/>
      <c r="D49" s="57"/>
      <c r="E49" s="57"/>
      <c r="F49" s="57"/>
      <c r="G49" s="111"/>
    </row>
    <row r="50" spans="1:18" ht="15" x14ac:dyDescent="0.25">
      <c r="A50" s="57"/>
      <c r="B50" s="60" t="s">
        <v>17</v>
      </c>
      <c r="C50" s="57"/>
      <c r="D50" s="57"/>
      <c r="E50" s="57"/>
      <c r="F50" s="57"/>
      <c r="G50" s="66">
        <f>G48/52</f>
        <v>-36.390076923076919</v>
      </c>
      <c r="H50" s="66">
        <f t="shared" ref="H50:P50" si="8">H48/52</f>
        <v>-35.151784615384571</v>
      </c>
      <c r="I50" s="66">
        <f t="shared" si="8"/>
        <v>-33.236076423076923</v>
      </c>
      <c r="J50" s="66">
        <f t="shared" si="8"/>
        <v>-57.802976837680525</v>
      </c>
      <c r="K50" s="66">
        <f t="shared" si="8"/>
        <v>-90.07593923725328</v>
      </c>
      <c r="L50" s="66">
        <f t="shared" si="8"/>
        <v>-171.97059463328691</v>
      </c>
      <c r="M50" s="66">
        <f t="shared" si="8"/>
        <v>-180.79273294253773</v>
      </c>
      <c r="N50" s="66">
        <f t="shared" si="8"/>
        <v>-188.99386802388787</v>
      </c>
      <c r="O50" s="66">
        <f t="shared" si="8"/>
        <v>-196.68652340364059</v>
      </c>
      <c r="P50" s="66">
        <f t="shared" si="8"/>
        <v>-203.95380990810389</v>
      </c>
    </row>
    <row r="51" spans="1:18" ht="15" x14ac:dyDescent="0.25">
      <c r="A51" s="57"/>
      <c r="B51" s="57"/>
      <c r="C51" s="57"/>
      <c r="D51" s="57"/>
      <c r="E51" s="57"/>
      <c r="F51" s="57"/>
      <c r="G51" s="63"/>
    </row>
    <row r="52" spans="1:18" ht="15" x14ac:dyDescent="0.25">
      <c r="A52" s="57"/>
      <c r="B52" s="57"/>
      <c r="C52" s="57"/>
      <c r="D52" s="57"/>
      <c r="E52" s="57"/>
      <c r="F52" s="57"/>
      <c r="G52" s="62"/>
    </row>
    <row r="53" spans="1:18" ht="15" x14ac:dyDescent="0.25">
      <c r="A53" s="57"/>
      <c r="B53" s="57" t="s">
        <v>50</v>
      </c>
      <c r="C53" s="57"/>
      <c r="D53" s="57"/>
      <c r="E53" s="57"/>
      <c r="F53" s="57"/>
      <c r="G53" s="111">
        <f t="shared" ref="G53:P53" si="9">G6-G10</f>
        <v>-660</v>
      </c>
      <c r="H53" s="111">
        <f t="shared" si="9"/>
        <v>-660</v>
      </c>
      <c r="I53" s="111">
        <f t="shared" si="9"/>
        <v>-660</v>
      </c>
      <c r="J53" s="111">
        <f t="shared" si="9"/>
        <v>11839.999999999942</v>
      </c>
      <c r="K53" s="111">
        <f t="shared" si="9"/>
        <v>37465</v>
      </c>
      <c r="L53" s="111">
        <f t="shared" si="9"/>
        <v>75133.75</v>
      </c>
      <c r="M53" s="111">
        <f t="shared" si="9"/>
        <v>126955.1875</v>
      </c>
      <c r="N53" s="111">
        <f t="shared" si="9"/>
        <v>195992.85812500003</v>
      </c>
      <c r="O53" s="111">
        <f t="shared" si="9"/>
        <v>300490.78684374993</v>
      </c>
      <c r="P53" s="111">
        <f t="shared" si="9"/>
        <v>380605.86552812497</v>
      </c>
      <c r="R53" s="95">
        <f>P53-R8</f>
        <v>380605.86552812497</v>
      </c>
    </row>
    <row r="54" spans="1:18" ht="15" x14ac:dyDescent="0.25">
      <c r="A54" s="57"/>
      <c r="B54" s="57" t="s">
        <v>51</v>
      </c>
      <c r="C54" s="72"/>
      <c r="D54" s="72"/>
      <c r="E54" s="72"/>
      <c r="F54" s="57"/>
      <c r="G54" s="111">
        <f>G48</f>
        <v>-1892.2839999999997</v>
      </c>
      <c r="H54" s="111">
        <f>G54+H48</f>
        <v>-3720.1767999999975</v>
      </c>
      <c r="I54" s="111">
        <f t="shared" ref="I54:P54" si="10">H54+I48</f>
        <v>-5448.4527739999976</v>
      </c>
      <c r="J54" s="111">
        <f t="shared" si="10"/>
        <v>-8454.2075695593849</v>
      </c>
      <c r="K54" s="111">
        <f t="shared" si="10"/>
        <v>-13138.156409896555</v>
      </c>
      <c r="L54" s="111">
        <f t="shared" si="10"/>
        <v>-22080.627330827476</v>
      </c>
      <c r="M54" s="111">
        <f t="shared" si="10"/>
        <v>-31481.849443839437</v>
      </c>
      <c r="N54" s="111">
        <f t="shared" si="10"/>
        <v>-41309.530581081606</v>
      </c>
      <c r="O54" s="111">
        <f t="shared" si="10"/>
        <v>-51537.229798070919</v>
      </c>
      <c r="P54" s="111">
        <f t="shared" si="10"/>
        <v>-62142.82791329232</v>
      </c>
    </row>
    <row r="55" spans="1:18" ht="14.25" customHeight="1" x14ac:dyDescent="0.25">
      <c r="A55" s="57"/>
      <c r="B55" s="57"/>
      <c r="C55" s="57"/>
      <c r="D55" s="57"/>
      <c r="E55" s="57"/>
      <c r="F55" s="57"/>
      <c r="G55" s="63"/>
    </row>
    <row r="56" spans="1:18" ht="15" hidden="1" x14ac:dyDescent="0.25">
      <c r="A56" s="57"/>
      <c r="B56" s="77"/>
      <c r="C56" s="77"/>
      <c r="D56" s="77"/>
      <c r="E56" s="77"/>
      <c r="F56" s="77"/>
      <c r="G56" s="78"/>
    </row>
    <row r="57" spans="1:18" hidden="1" x14ac:dyDescent="0.25">
      <c r="B57" s="79"/>
      <c r="C57" s="79"/>
      <c r="D57" s="79"/>
      <c r="E57" s="79"/>
      <c r="F57" s="79"/>
      <c r="G57" s="79"/>
    </row>
    <row r="58" spans="1:18" hidden="1" x14ac:dyDescent="0.25">
      <c r="A58" s="56"/>
      <c r="B58" s="80"/>
      <c r="C58" s="81"/>
      <c r="D58" s="80"/>
      <c r="E58" s="80"/>
      <c r="F58" s="80"/>
      <c r="G58" s="80"/>
    </row>
    <row r="59" spans="1:18" hidden="1" x14ac:dyDescent="0.25">
      <c r="A59" s="56"/>
      <c r="B59" s="56"/>
      <c r="C59" s="56"/>
      <c r="D59" s="56"/>
      <c r="E59" s="56"/>
      <c r="F59" s="56"/>
      <c r="G59" s="56"/>
    </row>
    <row r="60" spans="1:18" ht="29.4" x14ac:dyDescent="0.45">
      <c r="A60" s="56"/>
      <c r="B60" s="191"/>
      <c r="C60" s="191"/>
      <c r="D60" s="191"/>
      <c r="E60" s="191"/>
      <c r="F60" s="191"/>
      <c r="G60" s="191"/>
    </row>
    <row r="61" spans="1:18" ht="29.4" x14ac:dyDescent="0.45">
      <c r="A61" s="56"/>
      <c r="B61" s="148" t="s">
        <v>53</v>
      </c>
      <c r="C61" s="178"/>
      <c r="D61" s="178"/>
      <c r="E61" s="178"/>
      <c r="F61" s="178"/>
      <c r="G61" s="178"/>
    </row>
    <row r="62" spans="1:18" ht="29.4" x14ac:dyDescent="0.45">
      <c r="A62" s="56"/>
      <c r="B62" s="178"/>
      <c r="C62" s="178"/>
      <c r="D62" s="178"/>
      <c r="E62" s="178"/>
      <c r="F62" s="178"/>
      <c r="G62" s="178"/>
    </row>
    <row r="63" spans="1:18" ht="15" x14ac:dyDescent="0.25">
      <c r="A63" s="56"/>
      <c r="B63" s="149" t="s">
        <v>54</v>
      </c>
      <c r="C63" s="150"/>
      <c r="D63" s="150"/>
      <c r="E63" s="150"/>
      <c r="F63" s="150"/>
      <c r="G63" s="150"/>
    </row>
    <row r="64" spans="1:18" ht="15" x14ac:dyDescent="0.25">
      <c r="A64" s="56"/>
      <c r="B64" s="151"/>
      <c r="C64" s="151"/>
      <c r="D64" s="151"/>
      <c r="E64" s="151"/>
      <c r="F64" s="151"/>
      <c r="G64" s="151"/>
    </row>
    <row r="65" spans="1:7" ht="15" x14ac:dyDescent="0.25">
      <c r="A65" s="56"/>
      <c r="B65" s="57" t="s">
        <v>55</v>
      </c>
      <c r="C65" s="151"/>
      <c r="D65" s="151"/>
      <c r="E65" s="151"/>
      <c r="F65" s="151"/>
      <c r="G65" s="151"/>
    </row>
    <row r="66" spans="1:7" ht="15" x14ac:dyDescent="0.25">
      <c r="A66" s="57"/>
      <c r="B66" s="57"/>
      <c r="C66" s="57"/>
      <c r="D66" s="57"/>
      <c r="E66" s="57"/>
      <c r="F66" s="57"/>
      <c r="G66" s="57"/>
    </row>
    <row r="67" spans="1:7" ht="15" x14ac:dyDescent="0.25">
      <c r="A67" s="57"/>
      <c r="B67" s="57" t="s">
        <v>56</v>
      </c>
      <c r="C67" s="57"/>
      <c r="D67" s="57"/>
      <c r="E67" s="57"/>
      <c r="F67" s="57"/>
      <c r="G67" s="57"/>
    </row>
    <row r="68" spans="1:7" ht="15" x14ac:dyDescent="0.25">
      <c r="A68" s="57"/>
      <c r="B68" s="60"/>
      <c r="C68" s="57"/>
      <c r="D68" s="57"/>
      <c r="E68" s="57"/>
      <c r="F68" s="57"/>
      <c r="G68" s="57"/>
    </row>
    <row r="69" spans="1:7" ht="15" x14ac:dyDescent="0.25">
      <c r="A69" s="57"/>
      <c r="B69" s="57" t="s">
        <v>57</v>
      </c>
      <c r="C69" s="57"/>
      <c r="D69" s="57"/>
      <c r="E69" s="57"/>
      <c r="F69" s="57"/>
      <c r="G69" s="57"/>
    </row>
    <row r="70" spans="1:7" ht="15" x14ac:dyDescent="0.25">
      <c r="A70" s="57"/>
      <c r="B70" s="57"/>
      <c r="C70" s="57"/>
      <c r="D70" s="57"/>
      <c r="E70" s="57"/>
      <c r="F70" s="57"/>
      <c r="G70" s="57"/>
    </row>
    <row r="71" spans="1:7" ht="15" x14ac:dyDescent="0.25">
      <c r="A71" s="57"/>
      <c r="B71" s="57" t="s">
        <v>58</v>
      </c>
      <c r="C71" s="57"/>
      <c r="D71" s="57"/>
      <c r="E71" s="57"/>
      <c r="F71" s="57"/>
      <c r="G71" s="57"/>
    </row>
    <row r="72" spans="1:7" ht="15" x14ac:dyDescent="0.25">
      <c r="A72" s="57"/>
      <c r="B72" s="57"/>
      <c r="C72" s="57"/>
      <c r="D72" s="57"/>
      <c r="E72" s="57"/>
      <c r="F72" s="57"/>
      <c r="G72" s="57"/>
    </row>
    <row r="73" spans="1:7" ht="15" x14ac:dyDescent="0.25">
      <c r="A73" s="57"/>
      <c r="B73" s="57" t="s">
        <v>60</v>
      </c>
      <c r="C73" s="57"/>
      <c r="D73" s="57"/>
      <c r="E73" s="57"/>
      <c r="F73" s="57"/>
      <c r="G73" s="57" t="s">
        <v>88</v>
      </c>
    </row>
    <row r="74" spans="1:7" ht="15" x14ac:dyDescent="0.25">
      <c r="A74" s="57"/>
      <c r="B74" s="57"/>
      <c r="C74" s="57"/>
      <c r="D74" s="57"/>
      <c r="E74" s="57"/>
      <c r="F74" s="57"/>
      <c r="G74" s="57"/>
    </row>
    <row r="75" spans="1:7" ht="15" x14ac:dyDescent="0.25">
      <c r="A75" s="57"/>
      <c r="B75" s="57"/>
      <c r="C75" s="57"/>
      <c r="D75" s="57"/>
      <c r="E75" s="57"/>
      <c r="F75" s="57"/>
      <c r="G75" s="57"/>
    </row>
    <row r="76" spans="1:7" ht="15" x14ac:dyDescent="0.25">
      <c r="A76" s="57"/>
      <c r="B76" s="57"/>
      <c r="C76" s="57"/>
      <c r="D76" s="57"/>
      <c r="E76" s="57"/>
      <c r="F76" s="57"/>
      <c r="G76" s="57"/>
    </row>
    <row r="77" spans="1:7" ht="15" x14ac:dyDescent="0.25">
      <c r="A77" s="57"/>
      <c r="B77" s="57"/>
      <c r="C77" s="57"/>
      <c r="D77" s="57"/>
      <c r="E77" s="57"/>
      <c r="F77" s="57"/>
      <c r="G77" s="57"/>
    </row>
    <row r="78" spans="1:7" ht="15" x14ac:dyDescent="0.25">
      <c r="A78" s="57"/>
      <c r="B78" s="57"/>
      <c r="C78" s="57"/>
      <c r="D78" s="57"/>
      <c r="E78" s="57"/>
      <c r="F78" s="57"/>
      <c r="G78" s="57"/>
    </row>
    <row r="79" spans="1:7" ht="15" x14ac:dyDescent="0.25">
      <c r="A79" s="57"/>
      <c r="B79" s="57"/>
      <c r="C79" s="57"/>
      <c r="D79" s="57"/>
      <c r="E79" s="57"/>
      <c r="F79" s="57"/>
      <c r="G79" s="57"/>
    </row>
    <row r="80" spans="1:7" ht="15" x14ac:dyDescent="0.25">
      <c r="A80" s="57"/>
      <c r="B80" s="57"/>
      <c r="C80" s="57"/>
      <c r="D80" s="57"/>
      <c r="E80" s="57"/>
      <c r="F80" s="57"/>
      <c r="G80" s="57"/>
    </row>
    <row r="81" spans="1:7" ht="15" x14ac:dyDescent="0.25">
      <c r="A81" s="57"/>
      <c r="B81" s="57"/>
      <c r="C81" s="57"/>
      <c r="D81" s="57"/>
      <c r="E81" s="57"/>
      <c r="F81" s="57"/>
      <c r="G81" s="57"/>
    </row>
    <row r="82" spans="1:7" ht="15" x14ac:dyDescent="0.25">
      <c r="A82" s="57"/>
      <c r="B82" s="57"/>
      <c r="C82" s="57"/>
      <c r="D82" s="57"/>
      <c r="E82" s="57"/>
      <c r="F82" s="57"/>
      <c r="G82" s="57"/>
    </row>
    <row r="83" spans="1:7" ht="15" x14ac:dyDescent="0.25">
      <c r="A83" s="57"/>
      <c r="B83" s="57"/>
      <c r="C83" s="57"/>
      <c r="D83" s="57"/>
      <c r="E83" s="57"/>
      <c r="F83" s="57"/>
      <c r="G83" s="57"/>
    </row>
    <row r="84" spans="1:7" ht="15" x14ac:dyDescent="0.25">
      <c r="A84" s="57"/>
      <c r="B84" s="57"/>
      <c r="C84" s="57"/>
      <c r="D84" s="57"/>
      <c r="E84" s="57"/>
      <c r="F84" s="57"/>
      <c r="G84" s="57"/>
    </row>
    <row r="85" spans="1:7" ht="15" x14ac:dyDescent="0.25">
      <c r="A85" s="57"/>
      <c r="B85" s="57"/>
      <c r="C85" s="57"/>
      <c r="D85" s="57"/>
      <c r="E85" s="57"/>
      <c r="F85" s="57"/>
      <c r="G85" s="57"/>
    </row>
    <row r="86" spans="1:7" ht="15" x14ac:dyDescent="0.25">
      <c r="A86" s="57"/>
      <c r="B86" s="57"/>
      <c r="C86" s="57"/>
      <c r="D86" s="57"/>
      <c r="E86" s="57"/>
      <c r="F86" s="57"/>
      <c r="G86" s="57"/>
    </row>
    <row r="87" spans="1:7" ht="15" x14ac:dyDescent="0.25">
      <c r="A87" s="57"/>
      <c r="B87" s="57"/>
      <c r="C87" s="57"/>
      <c r="D87" s="57"/>
      <c r="E87" s="57"/>
      <c r="F87" s="57"/>
      <c r="G87" s="57"/>
    </row>
    <row r="88" spans="1:7" ht="15" x14ac:dyDescent="0.25">
      <c r="A88" s="57"/>
      <c r="B88" s="57"/>
      <c r="C88" s="57"/>
      <c r="D88" s="57"/>
      <c r="E88" s="57"/>
      <c r="F88" s="57"/>
      <c r="G88" s="57"/>
    </row>
    <row r="89" spans="1:7" ht="15" x14ac:dyDescent="0.25">
      <c r="A89" s="57"/>
      <c r="B89" s="57"/>
      <c r="C89" s="57"/>
      <c r="D89" s="57"/>
      <c r="E89" s="57"/>
      <c r="F89" s="57"/>
      <c r="G89" s="57"/>
    </row>
    <row r="90" spans="1:7" ht="15" x14ac:dyDescent="0.25">
      <c r="A90" s="57"/>
      <c r="B90" s="72"/>
      <c r="C90" s="72"/>
      <c r="D90" s="72"/>
      <c r="E90" s="72"/>
      <c r="F90" s="72"/>
      <c r="G90" s="72"/>
    </row>
    <row r="91" spans="1:7" ht="15" x14ac:dyDescent="0.25">
      <c r="A91" s="57"/>
      <c r="B91" s="72"/>
      <c r="C91" s="72"/>
      <c r="D91" s="72"/>
      <c r="E91" s="72"/>
      <c r="F91" s="72"/>
      <c r="G91" s="72"/>
    </row>
    <row r="92" spans="1:7" ht="15" x14ac:dyDescent="0.25">
      <c r="A92" s="57"/>
      <c r="B92" s="72"/>
      <c r="C92" s="72"/>
      <c r="D92" s="72"/>
      <c r="E92" s="72"/>
      <c r="F92" s="72"/>
      <c r="G92" s="72"/>
    </row>
    <row r="93" spans="1:7" ht="15" x14ac:dyDescent="0.25">
      <c r="A93" s="57"/>
      <c r="B93" s="72"/>
      <c r="C93" s="72"/>
      <c r="D93" s="72"/>
      <c r="E93" s="72"/>
      <c r="F93" s="72"/>
      <c r="G93" s="72"/>
    </row>
    <row r="94" spans="1:7" ht="15" x14ac:dyDescent="0.25">
      <c r="A94" s="57"/>
      <c r="B94" s="82"/>
      <c r="C94" s="82"/>
      <c r="D94" s="82"/>
      <c r="E94" s="82"/>
      <c r="F94" s="82"/>
      <c r="G94" s="82"/>
    </row>
    <row r="95" spans="1:7" ht="15" x14ac:dyDescent="0.25">
      <c r="B95" s="83"/>
      <c r="C95" s="83"/>
      <c r="D95" s="83"/>
      <c r="E95" s="83"/>
      <c r="F95" s="84"/>
      <c r="G95" s="83"/>
    </row>
  </sheetData>
  <sheetProtection algorithmName="SHA-512" hashValue="tBfxpBMlsAywLT4J5ZHU7D+CU5wxLfEWzqCIQ2TqLRsTqf0ItMexSD316swR7jmx4NV2nBK3C7k8Wstw3Jxd9Q==" saltValue="7u6EaThWcOTUF74ci4kJ+w==" spinCount="100000" sheet="1" selectLockedCells="1"/>
  <mergeCells count="3">
    <mergeCell ref="A1:G1"/>
    <mergeCell ref="E2:H2"/>
    <mergeCell ref="B60:G60"/>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21EE6-7494-4FE2-BE14-206D7B0FBDF4}">
  <sheetPr codeName="Sheet12">
    <pageSetUpPr fitToPage="1"/>
  </sheetPr>
  <dimension ref="A1:R93"/>
  <sheetViews>
    <sheetView zoomScaleNormal="100" workbookViewId="0">
      <pane xSplit="7" ySplit="18" topLeftCell="H37" activePane="bottomRight" state="frozen"/>
      <selection pane="topRight" activeCell="H1" sqref="H1"/>
      <selection pane="bottomLeft" activeCell="A19" sqref="A19"/>
      <selection pane="bottomRight" activeCell="H8" sqref="H8"/>
    </sheetView>
  </sheetViews>
  <sheetFormatPr defaultColWidth="9.109375" defaultRowHeight="13.2" x14ac:dyDescent="0.25"/>
  <cols>
    <col min="1" max="1" width="3.5546875" style="54" customWidth="1"/>
    <col min="2" max="2" width="20" style="54" customWidth="1"/>
    <col min="3" max="3" width="12.88671875" style="54" customWidth="1"/>
    <col min="4" max="4" width="13" style="54" bestFit="1" customWidth="1"/>
    <col min="5" max="5" width="13.33203125" style="54" customWidth="1"/>
    <col min="6" max="6" width="6.109375" style="54" customWidth="1"/>
    <col min="7" max="7" width="16" style="54" bestFit="1" customWidth="1"/>
    <col min="8" max="8" width="11.88671875" style="54" customWidth="1"/>
    <col min="9" max="10" width="11.6640625" style="54" customWidth="1"/>
    <col min="11" max="11" width="11.44140625" style="54" customWidth="1"/>
    <col min="12" max="12" width="11.88671875" style="54" customWidth="1"/>
    <col min="13" max="13" width="12.44140625" style="54" customWidth="1"/>
    <col min="14" max="14" width="12" style="54" customWidth="1"/>
    <col min="15" max="16" width="11.6640625" style="54" customWidth="1"/>
    <col min="17" max="16384" width="9.109375" style="54"/>
  </cols>
  <sheetData>
    <row r="1" spans="1:18" ht="55.5" customHeight="1" x14ac:dyDescent="0.25">
      <c r="A1" s="190"/>
      <c r="B1" s="190"/>
      <c r="C1" s="190"/>
      <c r="D1" s="190"/>
      <c r="E1" s="190"/>
      <c r="F1" s="190"/>
      <c r="G1" s="190"/>
      <c r="H1" s="56"/>
    </row>
    <row r="2" spans="1:18" ht="22.8" x14ac:dyDescent="0.4">
      <c r="A2" s="152"/>
      <c r="B2" s="153" t="s">
        <v>24</v>
      </c>
      <c r="C2" s="152"/>
      <c r="D2" s="152"/>
      <c r="E2" s="196"/>
      <c r="F2" s="197"/>
      <c r="G2" s="197"/>
      <c r="H2" s="197"/>
      <c r="K2" s="154">
        <v>5</v>
      </c>
      <c r="P2" s="154">
        <v>10</v>
      </c>
      <c r="Q2" s="56"/>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56"/>
      <c r="B4" s="56"/>
      <c r="C4" s="56"/>
      <c r="D4" s="56"/>
      <c r="E4" s="56"/>
      <c r="F4" s="56"/>
      <c r="G4" s="56"/>
    </row>
    <row r="5" spans="1:18" ht="1.5" customHeight="1" x14ac:dyDescent="0.25">
      <c r="A5" s="56"/>
      <c r="B5" s="57"/>
      <c r="C5" s="56"/>
      <c r="D5" s="58"/>
      <c r="E5" s="56"/>
      <c r="F5" s="56"/>
      <c r="G5" s="56"/>
    </row>
    <row r="6" spans="1:18" ht="15" x14ac:dyDescent="0.25">
      <c r="A6" s="57"/>
      <c r="B6" s="57" t="s">
        <v>21</v>
      </c>
      <c r="C6" s="57"/>
      <c r="D6" s="130"/>
      <c r="E6" s="131"/>
      <c r="F6" s="57"/>
      <c r="G6" s="132">
        <f>'p2 one year'!D6*(1+'Data to enter'!F4)</f>
        <v>780000</v>
      </c>
      <c r="H6" s="132">
        <f>G6*(1+'Data to enter'!G4)</f>
        <v>780000</v>
      </c>
      <c r="I6" s="132">
        <f>H6*(1+'Data to enter'!H4)</f>
        <v>780000</v>
      </c>
      <c r="J6" s="132">
        <f>I6*(1+'Data to enter'!I4)</f>
        <v>799499.99999999988</v>
      </c>
      <c r="K6" s="132">
        <f>J6*(1+'Data to enter'!J4)</f>
        <v>839474.99999999988</v>
      </c>
      <c r="L6" s="132">
        <f>K6*(1+'Data to enter'!K4)</f>
        <v>898238.24999999988</v>
      </c>
      <c r="M6" s="132">
        <f>L6*(1+'Data to enter'!L4)</f>
        <v>979079.69249999989</v>
      </c>
      <c r="N6" s="132">
        <f>M6*(1+'Data to enter'!M4)</f>
        <v>1086778.4586749999</v>
      </c>
      <c r="O6" s="132">
        <f>N6*(1+'Data to enter'!N4)</f>
        <v>1249795.2274762497</v>
      </c>
      <c r="P6" s="132">
        <f>O6*(1+'Data to enter'!O4)</f>
        <v>1374774.7502238748</v>
      </c>
    </row>
    <row r="7" spans="1:18" ht="15" x14ac:dyDescent="0.25">
      <c r="A7" s="57"/>
      <c r="B7" s="57"/>
      <c r="C7" s="57"/>
      <c r="D7" s="131"/>
      <c r="E7" s="130"/>
      <c r="F7" s="57"/>
      <c r="G7" s="111"/>
      <c r="H7" s="95"/>
      <c r="I7" s="95"/>
      <c r="J7" s="95"/>
      <c r="K7" s="95"/>
      <c r="L7" s="95"/>
      <c r="M7" s="95"/>
      <c r="N7" s="95"/>
      <c r="O7" s="95"/>
      <c r="P7" s="95"/>
    </row>
    <row r="8" spans="1:18" ht="15" x14ac:dyDescent="0.25">
      <c r="A8" s="57"/>
      <c r="B8" s="57" t="s">
        <v>59</v>
      </c>
      <c r="C8" s="57"/>
      <c r="D8" s="131"/>
      <c r="E8" s="130"/>
      <c r="F8" s="57"/>
      <c r="G8" s="133">
        <f>'p2 one year'!E10</f>
        <v>0</v>
      </c>
      <c r="H8" s="116"/>
      <c r="I8" s="116"/>
      <c r="J8" s="116"/>
      <c r="K8" s="116"/>
      <c r="L8" s="116"/>
      <c r="M8" s="116"/>
      <c r="N8" s="116"/>
      <c r="O8" s="116"/>
      <c r="P8" s="116"/>
      <c r="Q8" s="155"/>
      <c r="R8" s="155">
        <f>SUM(G8:P8)</f>
        <v>0</v>
      </c>
    </row>
    <row r="9" spans="1:18" ht="15" x14ac:dyDescent="0.25">
      <c r="A9" s="57"/>
      <c r="B9" s="57"/>
      <c r="C9" s="57"/>
      <c r="D9" s="131"/>
      <c r="E9" s="131"/>
      <c r="F9" s="57"/>
      <c r="G9" s="111"/>
      <c r="H9" s="95"/>
      <c r="I9" s="95"/>
      <c r="J9" s="95"/>
      <c r="K9" s="95"/>
      <c r="L9" s="95"/>
      <c r="M9" s="95"/>
      <c r="N9" s="95"/>
      <c r="O9" s="95"/>
      <c r="P9" s="95"/>
    </row>
    <row r="10" spans="1:18" ht="15" x14ac:dyDescent="0.25">
      <c r="A10" s="57"/>
      <c r="B10" s="60" t="s">
        <v>9</v>
      </c>
      <c r="C10" s="57"/>
      <c r="D10" s="131"/>
      <c r="E10" s="130"/>
      <c r="F10" s="57"/>
      <c r="G10" s="111">
        <f>'p2 one year'!E12</f>
        <v>781160</v>
      </c>
      <c r="H10" s="111">
        <f>G10-H8</f>
        <v>781160</v>
      </c>
      <c r="I10" s="111">
        <f t="shared" ref="I10:P10" si="0">H10-I8</f>
        <v>781160</v>
      </c>
      <c r="J10" s="111">
        <f t="shared" si="0"/>
        <v>781160</v>
      </c>
      <c r="K10" s="111">
        <f t="shared" si="0"/>
        <v>781160</v>
      </c>
      <c r="L10" s="111">
        <f t="shared" si="0"/>
        <v>781160</v>
      </c>
      <c r="M10" s="111">
        <f t="shared" si="0"/>
        <v>781160</v>
      </c>
      <c r="N10" s="111">
        <f t="shared" si="0"/>
        <v>781160</v>
      </c>
      <c r="O10" s="111">
        <f t="shared" si="0"/>
        <v>781160</v>
      </c>
      <c r="P10" s="111">
        <f t="shared" si="0"/>
        <v>781160</v>
      </c>
    </row>
    <row r="11" spans="1:18" ht="8.25" customHeight="1" x14ac:dyDescent="0.25">
      <c r="A11" s="57"/>
      <c r="B11" s="57"/>
      <c r="C11" s="57"/>
      <c r="D11" s="58"/>
      <c r="E11" s="58"/>
      <c r="F11" s="57"/>
      <c r="G11" s="111"/>
      <c r="H11" s="95"/>
      <c r="I11" s="95"/>
      <c r="J11" s="95"/>
      <c r="K11" s="95"/>
      <c r="L11" s="95"/>
      <c r="M11" s="95"/>
      <c r="N11" s="95"/>
      <c r="O11" s="95"/>
      <c r="P11" s="95"/>
    </row>
    <row r="12" spans="1:18" ht="17.399999999999999" x14ac:dyDescent="0.3">
      <c r="A12" s="57"/>
      <c r="B12" s="61" t="s">
        <v>0</v>
      </c>
      <c r="C12" s="57"/>
      <c r="D12" s="57"/>
      <c r="E12" s="57"/>
      <c r="F12" s="57"/>
      <c r="G12" s="111"/>
      <c r="H12" s="95"/>
      <c r="I12" s="95"/>
      <c r="J12" s="95"/>
      <c r="K12" s="95"/>
      <c r="L12" s="95"/>
      <c r="M12" s="95"/>
      <c r="N12" s="95"/>
      <c r="O12" s="95"/>
      <c r="P12" s="95"/>
    </row>
    <row r="13" spans="1:18" ht="8.25" customHeight="1" x14ac:dyDescent="0.25">
      <c r="A13" s="57"/>
      <c r="B13" s="57"/>
      <c r="C13" s="57"/>
      <c r="D13" s="57"/>
      <c r="E13" s="57"/>
      <c r="F13" s="57"/>
      <c r="G13" s="111"/>
      <c r="H13" s="95"/>
      <c r="I13" s="95"/>
      <c r="J13" s="95"/>
      <c r="K13" s="95"/>
      <c r="L13" s="95"/>
      <c r="M13" s="95"/>
      <c r="N13" s="95"/>
      <c r="O13" s="95"/>
      <c r="P13" s="95"/>
    </row>
    <row r="14" spans="1:18" ht="15" x14ac:dyDescent="0.25">
      <c r="A14" s="57"/>
      <c r="B14" s="57" t="s">
        <v>27</v>
      </c>
      <c r="C14" s="57" t="s">
        <v>25</v>
      </c>
      <c r="D14" s="68">
        <f>'p2 one year'!D16</f>
        <v>52</v>
      </c>
      <c r="E14" s="57"/>
      <c r="F14" s="57"/>
      <c r="G14" s="111">
        <f>D14*D15</f>
        <v>30160</v>
      </c>
      <c r="H14" s="132">
        <f>G14*(1+'Data to enter'!F6)</f>
        <v>31064.799999999999</v>
      </c>
      <c r="I14" s="132">
        <f>H14*(1+'Data to enter'!G6)</f>
        <v>31996.743999999999</v>
      </c>
      <c r="J14" s="132">
        <f>I14*(1+'Data to enter'!H6)</f>
        <v>32956.64632</v>
      </c>
      <c r="K14" s="132">
        <f>J14*(1+'Data to enter'!I6)</f>
        <v>33945.345709599998</v>
      </c>
      <c r="L14" s="132">
        <f>K14*(1+'Data to enter'!J6)</f>
        <v>34963.706080887998</v>
      </c>
      <c r="M14" s="132">
        <f>L14*(1+'Data to enter'!K6)</f>
        <v>36012.617263314642</v>
      </c>
      <c r="N14" s="132">
        <f>M14*(1+'Data to enter'!L6)</f>
        <v>37092.995781214078</v>
      </c>
      <c r="O14" s="132">
        <f>N14*(1+'Data to enter'!M6)</f>
        <v>38205.785654650499</v>
      </c>
      <c r="P14" s="132">
        <f>O14*(1+'Data to enter'!N6)</f>
        <v>39351.959224290018</v>
      </c>
    </row>
    <row r="15" spans="1:18" ht="15" x14ac:dyDescent="0.25">
      <c r="A15" s="57"/>
      <c r="B15" s="57"/>
      <c r="C15" s="57" t="s">
        <v>26</v>
      </c>
      <c r="D15" s="135">
        <f>'p2 one year'!D17</f>
        <v>580</v>
      </c>
      <c r="E15" s="57"/>
      <c r="F15" s="57"/>
      <c r="G15" s="57"/>
    </row>
    <row r="16" spans="1:18" ht="15" x14ac:dyDescent="0.25">
      <c r="A16" s="57"/>
      <c r="B16" s="57"/>
      <c r="C16" s="57"/>
      <c r="D16" s="57" t="s">
        <v>11</v>
      </c>
      <c r="E16" s="57"/>
      <c r="F16" s="57"/>
      <c r="G16" s="62">
        <f>G14/G6</f>
        <v>3.8666666666666669E-2</v>
      </c>
    </row>
    <row r="17" spans="1:18" ht="6.75" customHeight="1" x14ac:dyDescent="0.25">
      <c r="A17" s="57"/>
      <c r="B17" s="57"/>
      <c r="C17" s="57"/>
      <c r="D17" s="57"/>
      <c r="E17" s="57"/>
      <c r="F17" s="57"/>
      <c r="G17" s="57"/>
    </row>
    <row r="18" spans="1:18" ht="24" customHeight="1" x14ac:dyDescent="0.3">
      <c r="A18" s="57"/>
      <c r="B18" s="64" t="s">
        <v>1</v>
      </c>
      <c r="C18" s="65"/>
      <c r="D18" s="57"/>
      <c r="E18" s="57"/>
      <c r="F18" s="57"/>
      <c r="G18" s="57"/>
    </row>
    <row r="19" spans="1:18" ht="15" x14ac:dyDescent="0.25">
      <c r="A19" s="57"/>
      <c r="B19" s="57"/>
      <c r="C19" s="57"/>
      <c r="D19" s="57"/>
      <c r="E19" s="57"/>
      <c r="F19" s="57"/>
      <c r="G19" s="57"/>
    </row>
    <row r="20" spans="1:18" ht="15" x14ac:dyDescent="0.25">
      <c r="A20" s="57"/>
      <c r="B20" s="57" t="s">
        <v>7</v>
      </c>
      <c r="C20" s="57"/>
      <c r="D20" s="57"/>
      <c r="E20" s="136"/>
      <c r="F20" s="136"/>
      <c r="G20" s="137">
        <f>'p2 one year'!G22</f>
        <v>1700</v>
      </c>
      <c r="H20" s="132">
        <f>G20*(1+'Data to enter'!F8)</f>
        <v>1751</v>
      </c>
      <c r="I20" s="132">
        <f>H20*(1+'Data to enter'!G8)</f>
        <v>1803.53</v>
      </c>
      <c r="J20" s="132">
        <f>I20*(1+'Data to enter'!H8)</f>
        <v>1857.6359</v>
      </c>
      <c r="K20" s="132">
        <f>J20*(1+'Data to enter'!I8)</f>
        <v>1913.364977</v>
      </c>
      <c r="L20" s="132">
        <f>K20*(1+'Data to enter'!J8)</f>
        <v>1970.7659263099999</v>
      </c>
      <c r="M20" s="132">
        <f>L20*(1+'Data to enter'!K8)</f>
        <v>2029.8889040992999</v>
      </c>
      <c r="N20" s="132">
        <f>M20*(1+'Data to enter'!L8)</f>
        <v>2090.785571222279</v>
      </c>
      <c r="O20" s="132">
        <f>N20*(1+'Data to enter'!M8)</f>
        <v>2153.5091383589474</v>
      </c>
      <c r="P20" s="132">
        <f>O20*(1+'Data to enter'!N8)</f>
        <v>2218.1144125097157</v>
      </c>
    </row>
    <row r="21" spans="1:18" ht="15" x14ac:dyDescent="0.25">
      <c r="A21" s="57"/>
      <c r="B21" s="57" t="s">
        <v>8</v>
      </c>
      <c r="C21" s="57"/>
      <c r="D21" s="57"/>
      <c r="E21" s="136"/>
      <c r="F21" s="136"/>
      <c r="G21" s="137">
        <f>'p2 one year'!G23</f>
        <v>50</v>
      </c>
      <c r="H21" s="132">
        <f>G21*(1+'Data to enter'!F8)</f>
        <v>51.5</v>
      </c>
      <c r="I21" s="132">
        <f>H21*(1+'Data to enter'!G8)</f>
        <v>53.045000000000002</v>
      </c>
      <c r="J21" s="132">
        <f>I21*(1+'Data to enter'!H8)</f>
        <v>54.63635</v>
      </c>
      <c r="K21" s="132">
        <f>J21*(1+'Data to enter'!I8)</f>
        <v>56.275440500000002</v>
      </c>
      <c r="L21" s="132">
        <f>K21*(1+'Data to enter'!J8)</f>
        <v>57.963703715000001</v>
      </c>
      <c r="M21" s="132">
        <f>L21*(1+'Data to enter'!K8)</f>
        <v>59.702614826450002</v>
      </c>
      <c r="N21" s="132">
        <f>M21*(1+'Data to enter'!L8)</f>
        <v>61.493693271243501</v>
      </c>
      <c r="O21" s="132">
        <f>N21*(1+'Data to enter'!M8)</f>
        <v>63.338504069380811</v>
      </c>
      <c r="P21" s="132">
        <f>O21*(1+'Data to enter'!N8)</f>
        <v>65.238659191462233</v>
      </c>
    </row>
    <row r="22" spans="1:18" ht="15" x14ac:dyDescent="0.25">
      <c r="A22" s="57"/>
      <c r="B22" s="57" t="s">
        <v>14</v>
      </c>
      <c r="C22" s="57"/>
      <c r="D22" s="57"/>
      <c r="E22" s="136"/>
      <c r="F22" s="136"/>
      <c r="G22" s="137">
        <f>'p2 one year'!G24</f>
        <v>0</v>
      </c>
      <c r="H22" s="132">
        <f>G22*(1+'Data to enter'!F8)</f>
        <v>0</v>
      </c>
      <c r="I22" s="132">
        <f>H22*(1+'Data to enter'!G8)</f>
        <v>0</v>
      </c>
      <c r="J22" s="132">
        <f>I22*(1+'Data to enter'!H8)</f>
        <v>0</v>
      </c>
      <c r="K22" s="132">
        <f>J22*(1+'Data to enter'!I8)</f>
        <v>0</v>
      </c>
      <c r="L22" s="132">
        <f>K22*(1+'Data to enter'!J8)</f>
        <v>0</v>
      </c>
      <c r="M22" s="132">
        <f>L22*(1+'Data to enter'!K8)</f>
        <v>0</v>
      </c>
      <c r="N22" s="132">
        <f>M22*(1+'Data to enter'!L8)</f>
        <v>0</v>
      </c>
      <c r="O22" s="132">
        <f>N22*(1+'Data to enter'!M8)</f>
        <v>0</v>
      </c>
      <c r="P22" s="132">
        <f>O22*(1+'Data to enter'!N8)</f>
        <v>0</v>
      </c>
    </row>
    <row r="23" spans="1:18" ht="15" x14ac:dyDescent="0.25">
      <c r="A23" s="57"/>
      <c r="B23" s="57" t="s">
        <v>2</v>
      </c>
      <c r="C23" s="57"/>
      <c r="D23" s="57"/>
      <c r="E23" s="136"/>
      <c r="F23" s="136"/>
      <c r="G23" s="137">
        <f>'p2 one year'!G25</f>
        <v>1200</v>
      </c>
      <c r="H23" s="132">
        <f>G23*(1+'Data to enter'!F8)</f>
        <v>1236</v>
      </c>
      <c r="I23" s="132">
        <f>H23*(1+'Data to enter'!G8)</f>
        <v>1273.08</v>
      </c>
      <c r="J23" s="132">
        <f>I23*(1+'Data to enter'!H8)</f>
        <v>1311.2724000000001</v>
      </c>
      <c r="K23" s="132">
        <f>J23*(1+'Data to enter'!I8)</f>
        <v>1350.610572</v>
      </c>
      <c r="L23" s="132">
        <f>K23*(1+'Data to enter'!J8)</f>
        <v>1391.12888916</v>
      </c>
      <c r="M23" s="132">
        <f>L23*(1+'Data to enter'!K8)</f>
        <v>1432.8627558348001</v>
      </c>
      <c r="N23" s="132">
        <f>M23*(1+'Data to enter'!L8)</f>
        <v>1475.848638509844</v>
      </c>
      <c r="O23" s="132">
        <f>N23*(1+'Data to enter'!M8)</f>
        <v>1520.1240976651393</v>
      </c>
      <c r="P23" s="132">
        <f>O23*(1+'Data to enter'!N8)</f>
        <v>1565.7278205950936</v>
      </c>
    </row>
    <row r="24" spans="1:18" ht="15" x14ac:dyDescent="0.25">
      <c r="A24" s="57"/>
      <c r="B24" s="57" t="s">
        <v>28</v>
      </c>
      <c r="C24" s="57"/>
      <c r="D24" s="57" t="s">
        <v>29</v>
      </c>
      <c r="E24" s="138"/>
      <c r="F24" s="136"/>
      <c r="G24" s="111">
        <f>(G10/2*'Data to enter'!F10)+('p2 10 year'!G10/2*'Data to enter'!F11)</f>
        <v>20622.624</v>
      </c>
      <c r="H24" s="111">
        <f>(H10/2*'Data to enter'!G10)+('p2 10 year'!H10/2*'Data to enter'!G11)</f>
        <v>21052.262000000002</v>
      </c>
      <c r="I24" s="111">
        <f>(I10/2*'Data to enter'!H10)+('p2 10 year'!I10/2*'Data to enter'!H11)</f>
        <v>21442.842000000001</v>
      </c>
      <c r="J24" s="111">
        <f>(J10/2*'Data to enter'!I10)+('p2 10 year'!J10/2*'Data to enter'!I11)</f>
        <v>22419.292000000001</v>
      </c>
      <c r="K24" s="139">
        <f>(K10/2*'Data to enter'!J10)+('p2 10 year'!K10/2*'Data to enter'!J11)</f>
        <v>23395.741999999998</v>
      </c>
      <c r="L24" s="139">
        <f>(L10/2*'Data to enter'!K10)+('p2 10 year'!L10/2*'Data to enter'!K11)</f>
        <v>28317.050000000003</v>
      </c>
      <c r="M24" s="111">
        <f>(M10/2*'Data to enter'!L10)+('p2 10 year'!M10/2*'Data to enter'!L11)</f>
        <v>29293.5</v>
      </c>
      <c r="N24" s="111">
        <f>(N10/2*'Data to enter'!M10)+('p2 10 year'!N10/2*'Data to enter'!M11)</f>
        <v>30269.95</v>
      </c>
      <c r="O24" s="111">
        <f>(O10/2*'Data to enter'!N10)+('p2 10 year'!O10/2*'Data to enter'!N11)</f>
        <v>31246.400000000001</v>
      </c>
      <c r="P24" s="111">
        <f>(P10/2*'Data to enter'!O10)+('p2 10 year'!P10/2*'Data to enter'!O11)</f>
        <v>32222.850000000002</v>
      </c>
    </row>
    <row r="25" spans="1:18" ht="15" x14ac:dyDescent="0.25">
      <c r="A25" s="57"/>
      <c r="B25" s="57" t="s">
        <v>95</v>
      </c>
      <c r="C25" s="57"/>
      <c r="D25" s="57"/>
      <c r="E25" s="136"/>
      <c r="F25" s="136"/>
      <c r="G25" s="137">
        <f>'p2 one year'!G27</f>
        <v>3119.72</v>
      </c>
      <c r="H25" s="111">
        <f>G25*(1+'Data to enter'!F8)</f>
        <v>3213.3116</v>
      </c>
      <c r="I25" s="111">
        <f>H25*(1+'Data to enter'!G8)</f>
        <v>3309.7109479999999</v>
      </c>
      <c r="J25" s="111">
        <f>I25*(1+'Data to enter'!H8)</f>
        <v>3409.0022764400001</v>
      </c>
      <c r="K25" s="111">
        <f>J25*(1+'Data to enter'!I8)</f>
        <v>3511.2723447332</v>
      </c>
      <c r="L25" s="111">
        <f>K25*(1+'Data to enter'!J8)</f>
        <v>3616.610515075196</v>
      </c>
      <c r="M25" s="111">
        <f>L25*(1+'Data to enter'!K8)</f>
        <v>3725.108830527452</v>
      </c>
      <c r="N25" s="111">
        <f>M25*(1+'Data to enter'!L8)</f>
        <v>3836.8620954432758</v>
      </c>
      <c r="O25" s="111">
        <f>N25*(1+'Data to enter'!M8)</f>
        <v>3951.967958306574</v>
      </c>
      <c r="P25" s="111">
        <f>O25*(1+'Data to enter'!N8)</f>
        <v>4070.5269970557715</v>
      </c>
    </row>
    <row r="26" spans="1:18" ht="15" x14ac:dyDescent="0.25">
      <c r="A26" s="57"/>
      <c r="B26" s="57" t="s">
        <v>3</v>
      </c>
      <c r="C26" s="57"/>
      <c r="D26" s="57"/>
      <c r="E26" s="136"/>
      <c r="F26" s="136"/>
      <c r="G26" s="137">
        <f>'p2 one year'!G28</f>
        <v>3000</v>
      </c>
      <c r="H26" s="111">
        <f>G26*(1+'Data to enter'!F8)</f>
        <v>3090</v>
      </c>
      <c r="I26" s="111">
        <f>H26*(1+'Data to enter'!G8)</f>
        <v>3182.7000000000003</v>
      </c>
      <c r="J26" s="111">
        <f>I26*(1+'Data to enter'!H8)</f>
        <v>3278.1810000000005</v>
      </c>
      <c r="K26" s="111">
        <f>J26*(1+'Data to enter'!I8)</f>
        <v>3376.5264300000008</v>
      </c>
      <c r="L26" s="111">
        <f>K26*(1+'Data to enter'!J8)</f>
        <v>3477.8222229000007</v>
      </c>
      <c r="M26" s="111">
        <f>L26*(1+'Data to enter'!K8)</f>
        <v>3582.1568895870009</v>
      </c>
      <c r="N26" s="111">
        <f>M26*(1+'Data to enter'!L8)</f>
        <v>3689.621596274611</v>
      </c>
      <c r="O26" s="111">
        <f>N26*(1+'Data to enter'!M8)</f>
        <v>3800.3102441628494</v>
      </c>
      <c r="P26" s="111">
        <f>O26*(1+'Data to enter'!N8)</f>
        <v>3914.3195514877348</v>
      </c>
    </row>
    <row r="27" spans="1:18" ht="15" x14ac:dyDescent="0.25">
      <c r="A27" s="57"/>
      <c r="B27" s="57" t="s">
        <v>6</v>
      </c>
      <c r="C27" s="57"/>
      <c r="D27" s="57"/>
      <c r="E27" s="136"/>
      <c r="F27" s="136"/>
      <c r="G27" s="137">
        <f>'p2 one year'!G29</f>
        <v>500</v>
      </c>
      <c r="H27" s="111">
        <f>G27*(1+'Data to enter'!F8)</f>
        <v>515</v>
      </c>
      <c r="I27" s="111">
        <f>H27*(1+'Data to enter'!G8)</f>
        <v>530.45000000000005</v>
      </c>
      <c r="J27" s="111">
        <f>I27*(1+'Data to enter'!H8)</f>
        <v>546.36350000000004</v>
      </c>
      <c r="K27" s="111">
        <f>J27*(1+'Data to enter'!I8)</f>
        <v>562.75440500000002</v>
      </c>
      <c r="L27" s="111">
        <f>K27*(1+'Data to enter'!J8)</f>
        <v>579.63703715000008</v>
      </c>
      <c r="M27" s="111">
        <f>L27*(1+'Data to enter'!K8)</f>
        <v>597.02614826450008</v>
      </c>
      <c r="N27" s="111">
        <f>M27*(1+'Data to enter'!L8)</f>
        <v>614.93693271243512</v>
      </c>
      <c r="O27" s="111">
        <f>N27*(1+'Data to enter'!M8)</f>
        <v>633.38504069380815</v>
      </c>
      <c r="P27" s="111">
        <f>O27*(1+'Data to enter'!N8)</f>
        <v>652.38659191462239</v>
      </c>
    </row>
    <row r="28" spans="1:18" ht="15" x14ac:dyDescent="0.25">
      <c r="A28" s="57"/>
      <c r="B28" s="57" t="s">
        <v>22</v>
      </c>
      <c r="C28" s="57"/>
      <c r="D28" s="57"/>
      <c r="E28" s="136"/>
      <c r="F28" s="136"/>
      <c r="G28" s="137">
        <f>'p2 one year'!G30</f>
        <v>100</v>
      </c>
      <c r="H28" s="111">
        <f>G28*(1+'Data to enter'!F8)</f>
        <v>103</v>
      </c>
      <c r="I28" s="111">
        <f>H28*(1+'Data to enter'!G8)</f>
        <v>106.09</v>
      </c>
      <c r="J28" s="111">
        <f>I28*(1+'Data to enter'!H8)</f>
        <v>109.2727</v>
      </c>
      <c r="K28" s="111">
        <f>J28*(1+'Data to enter'!I8)</f>
        <v>112.550881</v>
      </c>
      <c r="L28" s="111">
        <f>K28*(1+'Data to enter'!J8)</f>
        <v>115.92740743</v>
      </c>
      <c r="M28" s="111">
        <f>L28*(1+'Data to enter'!K8)</f>
        <v>119.4052296529</v>
      </c>
      <c r="N28" s="111">
        <f>M28*(1+'Data to enter'!L8)</f>
        <v>122.987386542487</v>
      </c>
      <c r="O28" s="111">
        <f>N28*(1+'Data to enter'!M8)</f>
        <v>126.67700813876162</v>
      </c>
      <c r="P28" s="111">
        <f>O28*(1+'Data to enter'!N8)</f>
        <v>130.47731838292447</v>
      </c>
    </row>
    <row r="29" spans="1:18" ht="15" x14ac:dyDescent="0.25">
      <c r="A29" s="57"/>
      <c r="B29" s="57" t="s">
        <v>23</v>
      </c>
      <c r="C29" s="57"/>
      <c r="D29" s="57"/>
      <c r="E29" s="136"/>
      <c r="F29" s="136"/>
      <c r="G29" s="137">
        <f>'p2 one year'!G31</f>
        <v>300</v>
      </c>
      <c r="H29" s="111">
        <f>G29*(1+'Data to enter'!F8)</f>
        <v>309</v>
      </c>
      <c r="I29" s="111">
        <f>H29*(1+'Data to enter'!G8)</f>
        <v>318.27</v>
      </c>
      <c r="J29" s="111">
        <f>I29*(1+'Data to enter'!H8)</f>
        <v>327.81810000000002</v>
      </c>
      <c r="K29" s="111">
        <f>J29*(1+'Data to enter'!I8)</f>
        <v>337.65264300000001</v>
      </c>
      <c r="L29" s="111">
        <f>K29*(1+'Data to enter'!J8)</f>
        <v>347.78222228999999</v>
      </c>
      <c r="M29" s="111">
        <f>L29*(1+'Data to enter'!K8)</f>
        <v>358.21568895870001</v>
      </c>
      <c r="N29" s="111">
        <f>M29*(1+'Data to enter'!L8)</f>
        <v>368.96215962746101</v>
      </c>
      <c r="O29" s="111">
        <f>N29*(1+'Data to enter'!M8)</f>
        <v>380.03102441628482</v>
      </c>
      <c r="P29" s="111">
        <f>O29*(1+'Data to enter'!N8)</f>
        <v>391.4319551487734</v>
      </c>
    </row>
    <row r="30" spans="1:18" ht="15" x14ac:dyDescent="0.25">
      <c r="A30" s="57"/>
      <c r="B30" s="57" t="s">
        <v>5</v>
      </c>
      <c r="C30" s="57"/>
      <c r="D30" s="57"/>
      <c r="E30" s="136"/>
      <c r="F30" s="136"/>
      <c r="G30" s="137">
        <f>'p2 one year'!G32</f>
        <v>86</v>
      </c>
      <c r="H30" s="111">
        <f>G30*(1+'Data to enter'!F8)</f>
        <v>88.58</v>
      </c>
      <c r="I30" s="111">
        <f>H30*(1+'Data to enter'!G8)</f>
        <v>91.237399999999994</v>
      </c>
      <c r="J30" s="111">
        <f>I30*(1+'Data to enter'!H8)</f>
        <v>93.974521999999993</v>
      </c>
      <c r="K30" s="111">
        <f>J30*(1+'Data to enter'!I8)</f>
        <v>96.793757659999997</v>
      </c>
      <c r="L30" s="111">
        <f>K30*(1+'Data to enter'!J8)</f>
        <v>99.697570389800006</v>
      </c>
      <c r="M30" s="111">
        <f>L30*(1+'Data to enter'!K8)</f>
        <v>102.68849750149401</v>
      </c>
      <c r="N30" s="111">
        <f>M30*(1+'Data to enter'!L8)</f>
        <v>105.76915242653884</v>
      </c>
      <c r="O30" s="111">
        <f>N30*(1+'Data to enter'!M8)</f>
        <v>108.94222699933501</v>
      </c>
      <c r="P30" s="111">
        <f>O30*(1+'Data to enter'!N8)</f>
        <v>112.21049380931505</v>
      </c>
    </row>
    <row r="31" spans="1:18" ht="15" x14ac:dyDescent="0.25">
      <c r="A31" s="57"/>
      <c r="B31" s="57"/>
      <c r="C31" s="57"/>
      <c r="D31" s="57"/>
      <c r="E31" s="57"/>
      <c r="F31" s="57"/>
      <c r="G31" s="57"/>
    </row>
    <row r="32" spans="1:18" ht="17.399999999999999" x14ac:dyDescent="0.3">
      <c r="A32" s="57"/>
      <c r="B32" s="64" t="s">
        <v>4</v>
      </c>
      <c r="C32" s="64"/>
      <c r="D32" s="57"/>
      <c r="E32" s="57"/>
      <c r="F32" s="57"/>
      <c r="G32" s="140">
        <f>SUM(G20:G30)</f>
        <v>30678.344000000001</v>
      </c>
      <c r="H32" s="140">
        <f t="shared" ref="H32:P32" si="1">SUM(H20:H30)</f>
        <v>31409.653600000005</v>
      </c>
      <c r="I32" s="140">
        <f t="shared" si="1"/>
        <v>32110.955348000003</v>
      </c>
      <c r="J32" s="140">
        <f t="shared" si="1"/>
        <v>33407.448748440002</v>
      </c>
      <c r="K32" s="140">
        <f t="shared" si="1"/>
        <v>34713.543450893201</v>
      </c>
      <c r="L32" s="140">
        <f t="shared" si="1"/>
        <v>39974.385494419999</v>
      </c>
      <c r="M32" s="140">
        <f t="shared" si="1"/>
        <v>41300.555559252593</v>
      </c>
      <c r="N32" s="140">
        <f t="shared" si="1"/>
        <v>42637.217226030181</v>
      </c>
      <c r="O32" s="140">
        <f t="shared" si="1"/>
        <v>43984.68524281108</v>
      </c>
      <c r="P32" s="140">
        <f t="shared" si="1"/>
        <v>45343.283800095414</v>
      </c>
      <c r="Q32" s="95"/>
      <c r="R32" s="95"/>
    </row>
    <row r="33" spans="1:18" ht="15" x14ac:dyDescent="0.25">
      <c r="A33" s="57"/>
      <c r="B33" s="57"/>
      <c r="C33" s="57"/>
      <c r="D33" s="57"/>
      <c r="E33" s="57"/>
      <c r="F33" s="57"/>
      <c r="G33" s="111"/>
      <c r="H33" s="95"/>
      <c r="I33" s="95"/>
      <c r="J33" s="95"/>
      <c r="K33" s="95"/>
      <c r="L33" s="95"/>
      <c r="M33" s="95"/>
      <c r="N33" s="95"/>
      <c r="O33" s="95"/>
      <c r="P33" s="95"/>
      <c r="Q33" s="95"/>
      <c r="R33" s="95"/>
    </row>
    <row r="34" spans="1:18" ht="15" x14ac:dyDescent="0.25">
      <c r="A34" s="141"/>
      <c r="B34" s="142" t="s">
        <v>10</v>
      </c>
      <c r="C34" s="142"/>
      <c r="D34" s="142"/>
      <c r="E34" s="141"/>
      <c r="F34" s="141"/>
      <c r="G34" s="143">
        <f>G14-G32</f>
        <v>-518.34400000000096</v>
      </c>
      <c r="H34" s="143">
        <f t="shared" ref="H34:P34" si="2">H14-H32</f>
        <v>-344.85360000000583</v>
      </c>
      <c r="I34" s="143">
        <f t="shared" si="2"/>
        <v>-114.21134800000436</v>
      </c>
      <c r="J34" s="143">
        <f t="shared" si="2"/>
        <v>-450.80242844000168</v>
      </c>
      <c r="K34" s="143">
        <f t="shared" si="2"/>
        <v>-768.19774129320285</v>
      </c>
      <c r="L34" s="143">
        <f t="shared" si="2"/>
        <v>-5010.6794135320015</v>
      </c>
      <c r="M34" s="143">
        <f t="shared" si="2"/>
        <v>-5287.9382959379509</v>
      </c>
      <c r="N34" s="143">
        <f t="shared" si="2"/>
        <v>-5544.221444816103</v>
      </c>
      <c r="O34" s="143">
        <f t="shared" si="2"/>
        <v>-5778.8995881605806</v>
      </c>
      <c r="P34" s="143">
        <f t="shared" si="2"/>
        <v>-5991.3245758053963</v>
      </c>
      <c r="Q34" s="95"/>
      <c r="R34" s="95"/>
    </row>
    <row r="35" spans="1:18" ht="15" x14ac:dyDescent="0.25">
      <c r="A35" s="57"/>
      <c r="B35" s="57"/>
      <c r="C35" s="57"/>
      <c r="D35" s="57"/>
      <c r="E35" s="57"/>
      <c r="F35" s="57"/>
      <c r="G35" s="111"/>
      <c r="H35" s="95"/>
      <c r="I35" s="95"/>
      <c r="J35" s="95"/>
      <c r="K35" s="95"/>
      <c r="L35" s="95"/>
      <c r="M35" s="95"/>
      <c r="N35" s="95"/>
      <c r="O35" s="95"/>
      <c r="P35" s="95"/>
      <c r="Q35" s="95"/>
      <c r="R35" s="95"/>
    </row>
    <row r="36" spans="1:18" ht="15" x14ac:dyDescent="0.25">
      <c r="A36" s="57"/>
      <c r="B36" s="60" t="s">
        <v>12</v>
      </c>
      <c r="C36" s="60"/>
      <c r="D36" s="57"/>
      <c r="E36" s="57" t="s">
        <v>15</v>
      </c>
      <c r="F36" s="57"/>
      <c r="G36" s="111"/>
      <c r="H36" s="95"/>
      <c r="I36" s="95"/>
      <c r="J36" s="95"/>
      <c r="K36" s="95"/>
      <c r="L36" s="95"/>
      <c r="M36" s="95"/>
      <c r="N36" s="95"/>
      <c r="O36" s="95"/>
      <c r="P36" s="95"/>
      <c r="Q36" s="95"/>
      <c r="R36" s="95"/>
    </row>
    <row r="37" spans="1:18" ht="15" x14ac:dyDescent="0.25">
      <c r="A37" s="57"/>
      <c r="B37" s="57"/>
      <c r="C37" s="57"/>
      <c r="D37" s="57"/>
      <c r="E37" s="57" t="s">
        <v>16</v>
      </c>
      <c r="F37" s="57"/>
      <c r="G37" s="144">
        <f>'p2 one year'!H39</f>
        <v>6000</v>
      </c>
      <c r="H37" s="144">
        <f>G37*0.75</f>
        <v>4500</v>
      </c>
      <c r="I37" s="144">
        <f t="shared" ref="I37:P37" si="3">H37*0.75</f>
        <v>3375</v>
      </c>
      <c r="J37" s="144">
        <f t="shared" si="3"/>
        <v>2531.25</v>
      </c>
      <c r="K37" s="144">
        <f t="shared" si="3"/>
        <v>1898.4375</v>
      </c>
      <c r="L37" s="144">
        <f t="shared" si="3"/>
        <v>1423.828125</v>
      </c>
      <c r="M37" s="144">
        <f t="shared" si="3"/>
        <v>1067.87109375</v>
      </c>
      <c r="N37" s="144">
        <f t="shared" si="3"/>
        <v>800.9033203125</v>
      </c>
      <c r="O37" s="144">
        <f t="shared" si="3"/>
        <v>600.677490234375</v>
      </c>
      <c r="P37" s="144">
        <f t="shared" si="3"/>
        <v>450.50811767578125</v>
      </c>
      <c r="Q37" s="95"/>
      <c r="R37" s="95"/>
    </row>
    <row r="38" spans="1:18" ht="15" x14ac:dyDescent="0.25">
      <c r="A38" s="57"/>
      <c r="B38" s="57"/>
      <c r="C38" s="57"/>
      <c r="D38" s="57"/>
      <c r="E38" s="57"/>
      <c r="F38" s="57"/>
      <c r="G38" s="111"/>
      <c r="H38" s="95"/>
      <c r="I38" s="95"/>
      <c r="J38" s="95"/>
      <c r="K38" s="95"/>
      <c r="L38" s="95"/>
      <c r="M38" s="95"/>
      <c r="N38" s="95"/>
      <c r="O38" s="95"/>
      <c r="P38" s="95"/>
      <c r="Q38" s="95"/>
      <c r="R38" s="95"/>
    </row>
    <row r="39" spans="1:18" ht="15" x14ac:dyDescent="0.25">
      <c r="A39" s="57"/>
      <c r="B39" s="57"/>
      <c r="C39" s="57"/>
      <c r="D39" s="57"/>
      <c r="E39" s="57"/>
      <c r="F39" s="57"/>
      <c r="G39" s="111"/>
      <c r="H39" s="95"/>
      <c r="I39" s="95"/>
      <c r="J39" s="95"/>
      <c r="K39" s="95"/>
      <c r="L39" s="95"/>
      <c r="M39" s="95"/>
      <c r="N39" s="95"/>
      <c r="O39" s="95"/>
      <c r="P39" s="95"/>
      <c r="Q39" s="95"/>
      <c r="R39" s="95"/>
    </row>
    <row r="40" spans="1:18" ht="15" x14ac:dyDescent="0.25">
      <c r="A40" s="57"/>
      <c r="B40" s="60" t="s">
        <v>13</v>
      </c>
      <c r="C40" s="60"/>
      <c r="D40" s="60"/>
      <c r="E40" s="60"/>
      <c r="F40" s="60"/>
      <c r="G40" s="66">
        <f>G34-G37</f>
        <v>-6518.344000000001</v>
      </c>
      <c r="H40" s="66">
        <f t="shared" ref="H40:P40" si="4">H34-H37</f>
        <v>-4844.8536000000058</v>
      </c>
      <c r="I40" s="66">
        <f t="shared" si="4"/>
        <v>-3489.2113480000044</v>
      </c>
      <c r="J40" s="66">
        <f t="shared" si="4"/>
        <v>-2982.0524284400017</v>
      </c>
      <c r="K40" s="66">
        <f t="shared" si="4"/>
        <v>-2666.6352412932029</v>
      </c>
      <c r="L40" s="66">
        <f t="shared" si="4"/>
        <v>-6434.5075385320015</v>
      </c>
      <c r="M40" s="66">
        <f t="shared" si="4"/>
        <v>-6355.8093896879509</v>
      </c>
      <c r="N40" s="66">
        <f t="shared" si="4"/>
        <v>-6345.124765128603</v>
      </c>
      <c r="O40" s="66">
        <f t="shared" si="4"/>
        <v>-6379.5770783949556</v>
      </c>
      <c r="P40" s="66">
        <f t="shared" si="4"/>
        <v>-6441.8326934811776</v>
      </c>
      <c r="Q40" s="95"/>
      <c r="R40" s="95"/>
    </row>
    <row r="41" spans="1:18" ht="15" x14ac:dyDescent="0.25">
      <c r="A41" s="57"/>
      <c r="B41" s="60"/>
      <c r="C41" s="60"/>
      <c r="D41" s="60"/>
      <c r="E41" s="60"/>
      <c r="F41" s="60"/>
      <c r="G41" s="66"/>
      <c r="H41" s="95"/>
      <c r="I41" s="95"/>
      <c r="J41" s="95"/>
      <c r="K41" s="95"/>
      <c r="L41" s="95"/>
      <c r="M41" s="95"/>
      <c r="N41" s="95"/>
      <c r="O41" s="95"/>
      <c r="P41" s="95"/>
      <c r="Q41" s="95"/>
      <c r="R41" s="95"/>
    </row>
    <row r="42" spans="1:18" ht="17.399999999999999" x14ac:dyDescent="0.3">
      <c r="A42" s="57"/>
      <c r="B42" s="70" t="s">
        <v>30</v>
      </c>
      <c r="C42" s="60"/>
      <c r="D42" s="60"/>
      <c r="E42" s="138"/>
      <c r="F42" s="60"/>
      <c r="G42" s="66">
        <f>IF(G40&lt;0,0,-(G40*$G$43*$E$43)+-(G40*$G$44*$E$44))</f>
        <v>0</v>
      </c>
      <c r="H42" s="66">
        <f>IF(H40&lt;0,0,-(H40*$G$43*$E$43)+-(H40*$G$44*$E$44))</f>
        <v>0</v>
      </c>
      <c r="I42" s="66">
        <f t="shared" ref="I42:P42" si="5">IF(I40&lt;0,0,-(I40*$G$43*$E$43)+-(I40*$G$44*$E$44))</f>
        <v>0</v>
      </c>
      <c r="J42" s="66">
        <f t="shared" si="5"/>
        <v>0</v>
      </c>
      <c r="K42" s="66">
        <f t="shared" si="5"/>
        <v>0</v>
      </c>
      <c r="L42" s="66">
        <f t="shared" si="5"/>
        <v>0</v>
      </c>
      <c r="M42" s="66">
        <f t="shared" si="5"/>
        <v>0</v>
      </c>
      <c r="N42" s="66">
        <f t="shared" si="5"/>
        <v>0</v>
      </c>
      <c r="O42" s="66">
        <f t="shared" si="5"/>
        <v>0</v>
      </c>
      <c r="P42" s="66">
        <f t="shared" si="5"/>
        <v>0</v>
      </c>
      <c r="Q42" s="95"/>
      <c r="R42" s="95">
        <f>SUM(H42:P42)</f>
        <v>0</v>
      </c>
    </row>
    <row r="43" spans="1:18" ht="15" x14ac:dyDescent="0.25">
      <c r="A43" s="57"/>
      <c r="B43" s="60"/>
      <c r="C43" s="60" t="s">
        <v>32</v>
      </c>
      <c r="D43" s="60" t="s">
        <v>31</v>
      </c>
      <c r="E43" s="138">
        <f>'p2 one year'!E45</f>
        <v>0.33</v>
      </c>
      <c r="F43" s="60"/>
      <c r="G43" s="145">
        <f>'p2 one year'!G45</f>
        <v>0.99</v>
      </c>
      <c r="K43" s="146"/>
      <c r="L43" s="146"/>
      <c r="M43" s="146"/>
      <c r="N43" s="146"/>
    </row>
    <row r="44" spans="1:18" ht="15" x14ac:dyDescent="0.25">
      <c r="A44" s="57"/>
      <c r="B44" s="60"/>
      <c r="C44" s="60" t="s">
        <v>34</v>
      </c>
      <c r="D44" s="60"/>
      <c r="E44" s="138">
        <f>'p2 one year'!E46</f>
        <v>0.17499999999999999</v>
      </c>
      <c r="F44" s="60"/>
      <c r="G44" s="145">
        <f>'p2 one year'!G46</f>
        <v>0.01</v>
      </c>
    </row>
    <row r="45" spans="1:18" ht="15" x14ac:dyDescent="0.25">
      <c r="A45" s="57"/>
      <c r="B45" s="72"/>
      <c r="C45" s="72"/>
      <c r="D45" s="72"/>
      <c r="E45" s="72"/>
      <c r="F45" s="72"/>
      <c r="G45" s="72"/>
    </row>
    <row r="46" spans="1:18" ht="18" thickBot="1" x14ac:dyDescent="0.35">
      <c r="A46" s="57"/>
      <c r="B46" s="60" t="s">
        <v>36</v>
      </c>
      <c r="C46" s="72"/>
      <c r="D46" s="72"/>
      <c r="E46" s="72"/>
      <c r="F46" s="72"/>
      <c r="G46" s="147">
        <f>G34+G42</f>
        <v>-518.34400000000096</v>
      </c>
      <c r="H46" s="147">
        <f t="shared" ref="H46:P46" si="6">H34+H42</f>
        <v>-344.85360000000583</v>
      </c>
      <c r="I46" s="147">
        <f t="shared" si="6"/>
        <v>-114.21134800000436</v>
      </c>
      <c r="J46" s="147">
        <f t="shared" si="6"/>
        <v>-450.80242844000168</v>
      </c>
      <c r="K46" s="147">
        <f t="shared" si="6"/>
        <v>-768.19774129320285</v>
      </c>
      <c r="L46" s="147">
        <f t="shared" si="6"/>
        <v>-5010.6794135320015</v>
      </c>
      <c r="M46" s="147">
        <f t="shared" si="6"/>
        <v>-5287.9382959379509</v>
      </c>
      <c r="N46" s="147">
        <f t="shared" si="6"/>
        <v>-5544.221444816103</v>
      </c>
      <c r="O46" s="147">
        <f t="shared" si="6"/>
        <v>-5778.8995881605806</v>
      </c>
      <c r="P46" s="147">
        <f t="shared" si="6"/>
        <v>-5991.3245758053963</v>
      </c>
    </row>
    <row r="47" spans="1:18" ht="15.6" thickTop="1" x14ac:dyDescent="0.25">
      <c r="A47" s="57"/>
      <c r="B47" s="57"/>
      <c r="C47" s="57"/>
      <c r="D47" s="57"/>
      <c r="E47" s="57"/>
      <c r="F47" s="57"/>
      <c r="G47" s="111"/>
    </row>
    <row r="48" spans="1:18" ht="15" x14ac:dyDescent="0.25">
      <c r="A48" s="57"/>
      <c r="B48" s="60" t="s">
        <v>17</v>
      </c>
      <c r="C48" s="57"/>
      <c r="D48" s="57"/>
      <c r="E48" s="57"/>
      <c r="F48" s="57"/>
      <c r="G48" s="66">
        <f>G46/52</f>
        <v>-9.9681538461538644</v>
      </c>
      <c r="H48" s="66">
        <f t="shared" ref="H48:P48" si="7">H46/52</f>
        <v>-6.631800000000112</v>
      </c>
      <c r="I48" s="66">
        <f t="shared" si="7"/>
        <v>-2.1963720769231609</v>
      </c>
      <c r="J48" s="66">
        <f t="shared" si="7"/>
        <v>-8.6692774700000328</v>
      </c>
      <c r="K48" s="66">
        <f t="shared" si="7"/>
        <v>-14.773033486407748</v>
      </c>
      <c r="L48" s="66">
        <f t="shared" si="7"/>
        <v>-96.359219491000033</v>
      </c>
      <c r="M48" s="66">
        <f t="shared" si="7"/>
        <v>-101.69112107572982</v>
      </c>
      <c r="N48" s="66">
        <f t="shared" si="7"/>
        <v>-106.61964316954044</v>
      </c>
      <c r="O48" s="66">
        <f t="shared" si="7"/>
        <v>-111.13268438770348</v>
      </c>
      <c r="P48" s="66">
        <f t="shared" si="7"/>
        <v>-115.21778030394992</v>
      </c>
    </row>
    <row r="49" spans="1:18" ht="15" x14ac:dyDescent="0.25">
      <c r="A49" s="57"/>
      <c r="B49" s="57"/>
      <c r="C49" s="57"/>
      <c r="D49" s="57"/>
      <c r="E49" s="57"/>
      <c r="F49" s="57"/>
      <c r="G49" s="63"/>
    </row>
    <row r="50" spans="1:18" ht="15" x14ac:dyDescent="0.25">
      <c r="A50" s="57"/>
      <c r="B50" s="57"/>
      <c r="C50" s="57"/>
      <c r="D50" s="57"/>
      <c r="E50" s="57"/>
      <c r="F50" s="57"/>
      <c r="G50" s="62"/>
    </row>
    <row r="51" spans="1:18" ht="15" x14ac:dyDescent="0.25">
      <c r="A51" s="57"/>
      <c r="B51" s="57" t="s">
        <v>50</v>
      </c>
      <c r="C51" s="57"/>
      <c r="D51" s="57"/>
      <c r="E51" s="57"/>
      <c r="F51" s="57"/>
      <c r="G51" s="111">
        <f>G6-G10</f>
        <v>-1160</v>
      </c>
      <c r="H51" s="111">
        <f t="shared" ref="H51:P51" si="8">H6-H10</f>
        <v>-1160</v>
      </c>
      <c r="I51" s="111">
        <f t="shared" si="8"/>
        <v>-1160</v>
      </c>
      <c r="J51" s="111">
        <f t="shared" si="8"/>
        <v>18339.999999999884</v>
      </c>
      <c r="K51" s="111">
        <f t="shared" si="8"/>
        <v>58314.999999999884</v>
      </c>
      <c r="L51" s="111">
        <f t="shared" si="8"/>
        <v>117078.24999999988</v>
      </c>
      <c r="M51" s="111">
        <f t="shared" si="8"/>
        <v>197919.69249999989</v>
      </c>
      <c r="N51" s="111">
        <f t="shared" si="8"/>
        <v>305618.45867499989</v>
      </c>
      <c r="O51" s="111">
        <f t="shared" si="8"/>
        <v>468635.22747624968</v>
      </c>
      <c r="P51" s="111">
        <f t="shared" si="8"/>
        <v>593614.75022387481</v>
      </c>
      <c r="R51" s="95">
        <f>P51-R8</f>
        <v>593614.75022387481</v>
      </c>
    </row>
    <row r="52" spans="1:18" ht="15" x14ac:dyDescent="0.25">
      <c r="A52" s="57"/>
      <c r="B52" s="57" t="s">
        <v>51</v>
      </c>
      <c r="C52" s="72"/>
      <c r="D52" s="72"/>
      <c r="E52" s="72"/>
      <c r="F52" s="57"/>
      <c r="G52" s="111">
        <f>G46</f>
        <v>-518.34400000000096</v>
      </c>
      <c r="H52" s="111">
        <f>G52+H46</f>
        <v>-863.19760000000679</v>
      </c>
      <c r="I52" s="111">
        <f t="shared" ref="I52:P52" si="9">H52+I46</f>
        <v>-977.40894800001115</v>
      </c>
      <c r="J52" s="111">
        <f t="shared" si="9"/>
        <v>-1428.2113764400128</v>
      </c>
      <c r="K52" s="111">
        <f t="shared" si="9"/>
        <v>-2196.4091177332157</v>
      </c>
      <c r="L52" s="111">
        <f t="shared" si="9"/>
        <v>-7207.0885312652172</v>
      </c>
      <c r="M52" s="111">
        <f t="shared" si="9"/>
        <v>-12495.026827203168</v>
      </c>
      <c r="N52" s="111">
        <f t="shared" si="9"/>
        <v>-18039.248272019271</v>
      </c>
      <c r="O52" s="111">
        <f t="shared" si="9"/>
        <v>-23818.147860179852</v>
      </c>
      <c r="P52" s="111">
        <f t="shared" si="9"/>
        <v>-29809.472435985248</v>
      </c>
    </row>
    <row r="53" spans="1:18" ht="14.25" customHeight="1" x14ac:dyDescent="0.25">
      <c r="A53" s="57"/>
      <c r="B53" s="57"/>
      <c r="C53" s="57"/>
      <c r="D53" s="57"/>
      <c r="E53" s="57"/>
      <c r="F53" s="57"/>
      <c r="G53" s="63"/>
    </row>
    <row r="54" spans="1:18" ht="15" hidden="1" x14ac:dyDescent="0.25">
      <c r="A54" s="57"/>
      <c r="B54" s="77"/>
      <c r="C54" s="77"/>
      <c r="D54" s="77"/>
      <c r="E54" s="77"/>
      <c r="F54" s="77"/>
      <c r="G54" s="78"/>
    </row>
    <row r="55" spans="1:18" hidden="1" x14ac:dyDescent="0.25">
      <c r="B55" s="79"/>
      <c r="C55" s="79"/>
      <c r="D55" s="79"/>
      <c r="E55" s="79"/>
      <c r="F55" s="79"/>
      <c r="G55" s="79"/>
    </row>
    <row r="56" spans="1:18" hidden="1" x14ac:dyDescent="0.25">
      <c r="A56" s="56"/>
      <c r="B56" s="80"/>
      <c r="C56" s="81"/>
      <c r="D56" s="80"/>
      <c r="E56" s="80"/>
      <c r="F56" s="80"/>
      <c r="G56" s="80"/>
    </row>
    <row r="57" spans="1:18" hidden="1" x14ac:dyDescent="0.25">
      <c r="A57" s="56"/>
      <c r="B57" s="56"/>
      <c r="C57" s="56"/>
      <c r="D57" s="56"/>
      <c r="E57" s="56"/>
      <c r="F57" s="56"/>
      <c r="G57" s="56"/>
    </row>
    <row r="58" spans="1:18" ht="29.4" x14ac:dyDescent="0.45">
      <c r="A58" s="56"/>
      <c r="B58" s="191"/>
      <c r="C58" s="191"/>
      <c r="D58" s="191"/>
      <c r="E58" s="191"/>
      <c r="F58" s="191"/>
      <c r="G58" s="191"/>
    </row>
    <row r="59" spans="1:18" ht="29.4" x14ac:dyDescent="0.45">
      <c r="A59" s="56"/>
      <c r="B59" s="148" t="s">
        <v>53</v>
      </c>
      <c r="C59" s="128"/>
      <c r="D59" s="128"/>
      <c r="E59" s="128"/>
      <c r="F59" s="128"/>
      <c r="G59" s="128"/>
    </row>
    <row r="60" spans="1:18" ht="29.4" x14ac:dyDescent="0.45">
      <c r="A60" s="56"/>
      <c r="B60" s="128"/>
      <c r="C60" s="128"/>
      <c r="D60" s="128"/>
      <c r="E60" s="128"/>
      <c r="F60" s="128"/>
      <c r="G60" s="128"/>
    </row>
    <row r="61" spans="1:18" ht="15" x14ac:dyDescent="0.25">
      <c r="A61" s="56"/>
      <c r="B61" s="149" t="s">
        <v>54</v>
      </c>
      <c r="C61" s="150"/>
      <c r="D61" s="150"/>
      <c r="E61" s="150"/>
      <c r="F61" s="150"/>
      <c r="G61" s="150"/>
    </row>
    <row r="62" spans="1:18" ht="15" x14ac:dyDescent="0.25">
      <c r="A62" s="56"/>
      <c r="B62" s="151"/>
      <c r="C62" s="151"/>
      <c r="D62" s="151"/>
      <c r="E62" s="151"/>
      <c r="F62" s="151"/>
      <c r="G62" s="151"/>
    </row>
    <row r="63" spans="1:18" ht="15" x14ac:dyDescent="0.25">
      <c r="A63" s="56"/>
      <c r="B63" s="57" t="s">
        <v>55</v>
      </c>
      <c r="C63" s="151"/>
      <c r="D63" s="151"/>
      <c r="E63" s="151"/>
      <c r="F63" s="151"/>
      <c r="G63" s="151"/>
    </row>
    <row r="64" spans="1:18" ht="15" x14ac:dyDescent="0.25">
      <c r="A64" s="57"/>
      <c r="B64" s="57"/>
      <c r="C64" s="57"/>
      <c r="D64" s="57"/>
      <c r="E64" s="57"/>
      <c r="F64" s="57"/>
      <c r="G64" s="57"/>
    </row>
    <row r="65" spans="1:7" ht="15" x14ac:dyDescent="0.25">
      <c r="A65" s="57"/>
      <c r="B65" s="57" t="s">
        <v>56</v>
      </c>
      <c r="C65" s="57"/>
      <c r="D65" s="57"/>
      <c r="E65" s="57"/>
      <c r="F65" s="57"/>
      <c r="G65" s="57"/>
    </row>
    <row r="66" spans="1:7" ht="15" x14ac:dyDescent="0.25">
      <c r="A66" s="57"/>
      <c r="B66" s="60"/>
      <c r="C66" s="57"/>
      <c r="D66" s="57"/>
      <c r="E66" s="57"/>
      <c r="F66" s="57"/>
      <c r="G66" s="57"/>
    </row>
    <row r="67" spans="1:7" ht="15" x14ac:dyDescent="0.25">
      <c r="A67" s="57"/>
      <c r="B67" s="57" t="s">
        <v>57</v>
      </c>
      <c r="C67" s="57"/>
      <c r="D67" s="57"/>
      <c r="E67" s="57"/>
      <c r="F67" s="57"/>
      <c r="G67" s="57"/>
    </row>
    <row r="68" spans="1:7" ht="15" x14ac:dyDescent="0.25">
      <c r="A68" s="57"/>
      <c r="B68" s="57"/>
      <c r="C68" s="57"/>
      <c r="D68" s="57"/>
      <c r="E68" s="57"/>
      <c r="F68" s="57"/>
      <c r="G68" s="57"/>
    </row>
    <row r="69" spans="1:7" ht="15" x14ac:dyDescent="0.25">
      <c r="A69" s="57"/>
      <c r="B69" s="57" t="s">
        <v>58</v>
      </c>
      <c r="C69" s="57"/>
      <c r="D69" s="57"/>
      <c r="E69" s="57"/>
      <c r="F69" s="57"/>
      <c r="G69" s="57"/>
    </row>
    <row r="70" spans="1:7" ht="15" x14ac:dyDescent="0.25">
      <c r="A70" s="57"/>
      <c r="B70" s="57"/>
      <c r="C70" s="57"/>
      <c r="D70" s="57"/>
      <c r="E70" s="57"/>
      <c r="F70" s="57"/>
      <c r="G70" s="57"/>
    </row>
    <row r="71" spans="1:7" ht="15" x14ac:dyDescent="0.25">
      <c r="A71" s="57"/>
      <c r="B71" s="57" t="s">
        <v>60</v>
      </c>
      <c r="C71" s="57"/>
      <c r="D71" s="57"/>
      <c r="E71" s="57"/>
      <c r="F71" s="57"/>
      <c r="G71" s="57" t="s">
        <v>88</v>
      </c>
    </row>
    <row r="72" spans="1:7" ht="15" x14ac:dyDescent="0.25">
      <c r="A72" s="57"/>
      <c r="B72" s="57"/>
      <c r="C72" s="57"/>
      <c r="D72" s="57"/>
      <c r="E72" s="57"/>
      <c r="F72" s="57"/>
      <c r="G72" s="57"/>
    </row>
    <row r="73" spans="1:7" ht="15" x14ac:dyDescent="0.25">
      <c r="A73" s="57"/>
      <c r="B73" s="57"/>
      <c r="C73" s="57"/>
      <c r="D73" s="57"/>
      <c r="E73" s="57"/>
      <c r="F73" s="57"/>
      <c r="G73" s="57"/>
    </row>
    <row r="74" spans="1:7" ht="15" x14ac:dyDescent="0.25">
      <c r="A74" s="57"/>
      <c r="B74" s="57"/>
      <c r="C74" s="57"/>
      <c r="D74" s="57"/>
      <c r="E74" s="57"/>
      <c r="F74" s="57"/>
      <c r="G74" s="57"/>
    </row>
    <row r="75" spans="1:7" ht="15" x14ac:dyDescent="0.25">
      <c r="A75" s="57"/>
      <c r="B75" s="57"/>
      <c r="C75" s="57"/>
      <c r="D75" s="57"/>
      <c r="E75" s="57"/>
      <c r="F75" s="57"/>
      <c r="G75" s="57"/>
    </row>
    <row r="76" spans="1:7" ht="15" x14ac:dyDescent="0.25">
      <c r="A76" s="57"/>
      <c r="B76" s="57"/>
      <c r="C76" s="57"/>
      <c r="D76" s="57"/>
      <c r="E76" s="57"/>
      <c r="F76" s="57"/>
      <c r="G76" s="57"/>
    </row>
    <row r="77" spans="1:7" ht="15" x14ac:dyDescent="0.25">
      <c r="A77" s="57"/>
      <c r="B77" s="57"/>
      <c r="C77" s="57"/>
      <c r="D77" s="57"/>
      <c r="E77" s="57"/>
      <c r="F77" s="57"/>
      <c r="G77" s="57"/>
    </row>
    <row r="78" spans="1:7" ht="15" x14ac:dyDescent="0.25">
      <c r="A78" s="57"/>
      <c r="B78" s="57"/>
      <c r="C78" s="57"/>
      <c r="D78" s="57"/>
      <c r="E78" s="57"/>
      <c r="F78" s="57"/>
      <c r="G78" s="57"/>
    </row>
    <row r="79" spans="1:7" ht="15" x14ac:dyDescent="0.25">
      <c r="A79" s="57"/>
      <c r="B79" s="57"/>
      <c r="C79" s="57"/>
      <c r="D79" s="57"/>
      <c r="E79" s="57"/>
      <c r="F79" s="57"/>
      <c r="G79" s="57"/>
    </row>
    <row r="80" spans="1:7" ht="15" x14ac:dyDescent="0.25">
      <c r="A80" s="57"/>
      <c r="B80" s="57"/>
      <c r="C80" s="57"/>
      <c r="D80" s="57"/>
      <c r="E80" s="57"/>
      <c r="F80" s="57"/>
      <c r="G80" s="57"/>
    </row>
    <row r="81" spans="1:7" ht="15" x14ac:dyDescent="0.25">
      <c r="A81" s="57"/>
      <c r="B81" s="57"/>
      <c r="C81" s="57"/>
      <c r="D81" s="57"/>
      <c r="E81" s="57"/>
      <c r="F81" s="57"/>
      <c r="G81" s="57"/>
    </row>
    <row r="82" spans="1:7" ht="15" x14ac:dyDescent="0.25">
      <c r="A82" s="57"/>
      <c r="B82" s="57"/>
      <c r="C82" s="57"/>
      <c r="D82" s="57"/>
      <c r="E82" s="57"/>
      <c r="F82" s="57"/>
      <c r="G82" s="57"/>
    </row>
    <row r="83" spans="1:7" ht="15" x14ac:dyDescent="0.25">
      <c r="A83" s="57"/>
      <c r="B83" s="57"/>
      <c r="C83" s="57"/>
      <c r="D83" s="57"/>
      <c r="E83" s="57"/>
      <c r="F83" s="57"/>
      <c r="G83" s="57"/>
    </row>
    <row r="84" spans="1:7" ht="15" x14ac:dyDescent="0.25">
      <c r="A84" s="57"/>
      <c r="B84" s="57"/>
      <c r="C84" s="57"/>
      <c r="D84" s="57"/>
      <c r="E84" s="57"/>
      <c r="F84" s="57"/>
      <c r="G84" s="57"/>
    </row>
    <row r="85" spans="1:7" ht="15" x14ac:dyDescent="0.25">
      <c r="A85" s="57"/>
      <c r="B85" s="57"/>
      <c r="C85" s="57"/>
      <c r="D85" s="57"/>
      <c r="E85" s="57"/>
      <c r="F85" s="57"/>
      <c r="G85" s="57"/>
    </row>
    <row r="86" spans="1:7" ht="15" x14ac:dyDescent="0.25">
      <c r="A86" s="57"/>
      <c r="B86" s="57"/>
      <c r="C86" s="57"/>
      <c r="D86" s="57"/>
      <c r="E86" s="57"/>
      <c r="F86" s="57"/>
      <c r="G86" s="57"/>
    </row>
    <row r="87" spans="1:7" ht="15" x14ac:dyDescent="0.25">
      <c r="A87" s="57"/>
      <c r="B87" s="57"/>
      <c r="C87" s="57"/>
      <c r="D87" s="57"/>
      <c r="E87" s="57"/>
      <c r="F87" s="57"/>
      <c r="G87" s="57"/>
    </row>
    <row r="88" spans="1:7" ht="15" x14ac:dyDescent="0.25">
      <c r="A88" s="57"/>
      <c r="B88" s="72"/>
      <c r="C88" s="72"/>
      <c r="D88" s="72"/>
      <c r="E88" s="72"/>
      <c r="F88" s="72"/>
      <c r="G88" s="72"/>
    </row>
    <row r="89" spans="1:7" ht="15" x14ac:dyDescent="0.25">
      <c r="A89" s="57"/>
      <c r="B89" s="72"/>
      <c r="C89" s="72"/>
      <c r="D89" s="72"/>
      <c r="E89" s="72"/>
      <c r="F89" s="72"/>
      <c r="G89" s="72"/>
    </row>
    <row r="90" spans="1:7" ht="15" x14ac:dyDescent="0.25">
      <c r="A90" s="57"/>
      <c r="B90" s="72"/>
      <c r="C90" s="72"/>
      <c r="D90" s="72"/>
      <c r="E90" s="72"/>
      <c r="F90" s="72"/>
      <c r="G90" s="72"/>
    </row>
    <row r="91" spans="1:7" ht="15" x14ac:dyDescent="0.25">
      <c r="A91" s="57"/>
      <c r="B91" s="72"/>
      <c r="C91" s="72"/>
      <c r="D91" s="72"/>
      <c r="E91" s="72"/>
      <c r="F91" s="72"/>
      <c r="G91" s="72"/>
    </row>
    <row r="92" spans="1:7" ht="15" x14ac:dyDescent="0.25">
      <c r="A92" s="57"/>
      <c r="B92" s="82"/>
      <c r="C92" s="82"/>
      <c r="D92" s="82"/>
      <c r="E92" s="82"/>
      <c r="F92" s="82"/>
      <c r="G92" s="82"/>
    </row>
    <row r="93" spans="1:7" ht="15" x14ac:dyDescent="0.25">
      <c r="B93" s="83"/>
      <c r="C93" s="83"/>
      <c r="D93" s="83"/>
      <c r="E93" s="83"/>
      <c r="F93" s="84"/>
      <c r="G93" s="83"/>
    </row>
  </sheetData>
  <sheetProtection algorithmName="SHA-512" hashValue="wNWUDY/TVl+4+CWH6wBp2ToR9jGlpAlNE+835TJg9dvA8WPAKnt24CBTlqWWIJX2ap1MZ1cyLzqXaKDSfFvp5Q==" saltValue="yqGFvOFyLP+DITPk4vh/ww==" spinCount="100000" sheet="1" selectLockedCells="1"/>
  <mergeCells count="3">
    <mergeCell ref="A1:G1"/>
    <mergeCell ref="E2:H2"/>
    <mergeCell ref="B58:G58"/>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3529-CFB0-49C9-A78D-C1912D24ADB1}">
  <sheetPr>
    <pageSetUpPr fitToPage="1"/>
  </sheetPr>
  <dimension ref="A1:R95"/>
  <sheetViews>
    <sheetView zoomScaleNormal="100" workbookViewId="0">
      <pane xSplit="7" ySplit="18" topLeftCell="H19" activePane="bottomRight" state="frozen"/>
      <selection pane="topRight" activeCell="H1" sqref="H1"/>
      <selection pane="bottomLeft" activeCell="A19" sqref="A19"/>
      <selection pane="bottomRight" activeCell="H8" sqref="H8"/>
    </sheetView>
  </sheetViews>
  <sheetFormatPr defaultColWidth="9.109375" defaultRowHeight="13.2" x14ac:dyDescent="0.25"/>
  <cols>
    <col min="1" max="1" width="3.5546875" style="54" customWidth="1"/>
    <col min="2" max="2" width="20" style="54" customWidth="1"/>
    <col min="3" max="3" width="12.88671875" style="54" customWidth="1"/>
    <col min="4" max="4" width="13" style="54" bestFit="1" customWidth="1"/>
    <col min="5" max="5" width="13.33203125" style="54" customWidth="1"/>
    <col min="6" max="6" width="6.109375" style="54" customWidth="1"/>
    <col min="7" max="7" width="16" style="54" bestFit="1" customWidth="1"/>
    <col min="8" max="8" width="11.88671875" style="54" customWidth="1"/>
    <col min="9" max="10" width="11.6640625" style="54" customWidth="1"/>
    <col min="11" max="11" width="11.44140625" style="54" customWidth="1"/>
    <col min="12" max="12" width="11.88671875" style="54" customWidth="1"/>
    <col min="13" max="13" width="12.44140625" style="54" customWidth="1"/>
    <col min="14" max="14" width="12" style="54" customWidth="1"/>
    <col min="15" max="16" width="11.6640625" style="54" customWidth="1"/>
    <col min="17" max="16384" width="9.109375" style="54"/>
  </cols>
  <sheetData>
    <row r="1" spans="1:18" ht="55.5" customHeight="1" x14ac:dyDescent="0.25">
      <c r="A1" s="190"/>
      <c r="B1" s="190"/>
      <c r="C1" s="190"/>
      <c r="D1" s="190"/>
      <c r="E1" s="190"/>
      <c r="F1" s="190"/>
      <c r="G1" s="190"/>
      <c r="H1" s="56"/>
    </row>
    <row r="2" spans="1:18" ht="22.8" x14ac:dyDescent="0.4">
      <c r="A2" s="152"/>
      <c r="B2" s="153" t="s">
        <v>24</v>
      </c>
      <c r="C2" s="152"/>
      <c r="D2" s="152"/>
      <c r="E2" s="196"/>
      <c r="F2" s="197"/>
      <c r="G2" s="197"/>
      <c r="H2" s="197"/>
      <c r="K2" s="154">
        <v>5</v>
      </c>
      <c r="P2" s="154">
        <v>10</v>
      </c>
      <c r="Q2" s="56"/>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56"/>
      <c r="B4" s="56"/>
      <c r="C4" s="56"/>
      <c r="D4" s="56"/>
      <c r="E4" s="56"/>
      <c r="F4" s="56"/>
      <c r="G4" s="56"/>
    </row>
    <row r="5" spans="1:18" ht="1.5" customHeight="1" x14ac:dyDescent="0.25">
      <c r="A5" s="56"/>
      <c r="B5" s="57"/>
      <c r="C5" s="56"/>
      <c r="D5" s="58"/>
      <c r="E5" s="56"/>
      <c r="F5" s="56"/>
      <c r="G5" s="56"/>
    </row>
    <row r="6" spans="1:18" ht="15" x14ac:dyDescent="0.25">
      <c r="A6" s="57"/>
      <c r="B6" s="57" t="s">
        <v>21</v>
      </c>
      <c r="C6" s="57"/>
      <c r="D6" s="130"/>
      <c r="E6" s="131"/>
      <c r="F6" s="57"/>
      <c r="G6" s="132">
        <f>'p2 one year'!D6*(1+'Data to enter'!F4)</f>
        <v>780000</v>
      </c>
      <c r="H6" s="132">
        <f>G6*(1+'Data to enter'!G4)</f>
        <v>780000</v>
      </c>
      <c r="I6" s="132">
        <f>H6*(1+'Data to enter'!H4)</f>
        <v>780000</v>
      </c>
      <c r="J6" s="132">
        <f>I6*(1+'Data to enter'!I4)</f>
        <v>799499.99999999988</v>
      </c>
      <c r="K6" s="132">
        <f>J6*(1+'Data to enter'!J4)</f>
        <v>839474.99999999988</v>
      </c>
      <c r="L6" s="132">
        <f>K6*(1+'Data to enter'!K4)</f>
        <v>898238.24999999988</v>
      </c>
      <c r="M6" s="132">
        <f>L6*(1+'Data to enter'!L4)</f>
        <v>979079.69249999989</v>
      </c>
      <c r="N6" s="132">
        <f>M6*(1+'Data to enter'!M4)</f>
        <v>1086778.4586749999</v>
      </c>
      <c r="O6" s="132">
        <f>N6*(1+'Data to enter'!N4)</f>
        <v>1249795.2274762497</v>
      </c>
      <c r="P6" s="132">
        <f>O6*(1+'Data to enter'!O4)</f>
        <v>1374774.7502238748</v>
      </c>
    </row>
    <row r="7" spans="1:18" ht="15" x14ac:dyDescent="0.25">
      <c r="A7" s="57"/>
      <c r="B7" s="57"/>
      <c r="C7" s="57"/>
      <c r="D7" s="131"/>
      <c r="E7" s="130"/>
      <c r="F7" s="57"/>
      <c r="G7" s="111"/>
      <c r="H7" s="95"/>
      <c r="I7" s="95"/>
      <c r="J7" s="95"/>
      <c r="K7" s="95"/>
      <c r="L7" s="95"/>
      <c r="M7" s="95"/>
      <c r="N7" s="95"/>
      <c r="O7" s="95"/>
      <c r="P7" s="95"/>
    </row>
    <row r="8" spans="1:18" ht="15" x14ac:dyDescent="0.25">
      <c r="A8" s="57"/>
      <c r="B8" s="57" t="s">
        <v>59</v>
      </c>
      <c r="C8" s="57"/>
      <c r="D8" s="131"/>
      <c r="E8" s="130"/>
      <c r="F8" s="57"/>
      <c r="G8" s="133">
        <f>'p2 one year'!E10</f>
        <v>0</v>
      </c>
      <c r="H8" s="116"/>
      <c r="I8" s="116"/>
      <c r="J8" s="116"/>
      <c r="K8" s="116"/>
      <c r="L8" s="116"/>
      <c r="M8" s="116"/>
      <c r="N8" s="116"/>
      <c r="O8" s="116"/>
      <c r="P8" s="116"/>
      <c r="Q8" s="155"/>
      <c r="R8" s="155">
        <f>SUM(G8:P8)</f>
        <v>0</v>
      </c>
    </row>
    <row r="9" spans="1:18" ht="15" x14ac:dyDescent="0.25">
      <c r="A9" s="57"/>
      <c r="B9" s="57"/>
      <c r="C9" s="57"/>
      <c r="D9" s="131"/>
      <c r="E9" s="131"/>
      <c r="F9" s="57"/>
      <c r="G9" s="111"/>
      <c r="H9" s="95"/>
      <c r="I9" s="95"/>
      <c r="J9" s="95"/>
      <c r="K9" s="95"/>
      <c r="L9" s="95"/>
      <c r="M9" s="95"/>
      <c r="N9" s="95"/>
      <c r="O9" s="95"/>
      <c r="P9" s="95"/>
    </row>
    <row r="10" spans="1:18" ht="15" x14ac:dyDescent="0.25">
      <c r="A10" s="57"/>
      <c r="B10" s="60" t="s">
        <v>9</v>
      </c>
      <c r="C10" s="57"/>
      <c r="D10" s="131"/>
      <c r="E10" s="130"/>
      <c r="F10" s="57"/>
      <c r="G10" s="111">
        <f>'p2 one year'!E12</f>
        <v>781160</v>
      </c>
      <c r="H10" s="111">
        <f>G10-H8</f>
        <v>781160</v>
      </c>
      <c r="I10" s="111">
        <f t="shared" ref="I10:P10" si="0">H10-I8</f>
        <v>781160</v>
      </c>
      <c r="J10" s="111">
        <f t="shared" si="0"/>
        <v>781160</v>
      </c>
      <c r="K10" s="111">
        <f t="shared" si="0"/>
        <v>781160</v>
      </c>
      <c r="L10" s="111">
        <f t="shared" si="0"/>
        <v>781160</v>
      </c>
      <c r="M10" s="111">
        <f t="shared" si="0"/>
        <v>781160</v>
      </c>
      <c r="N10" s="111">
        <f t="shared" si="0"/>
        <v>781160</v>
      </c>
      <c r="O10" s="111">
        <f t="shared" si="0"/>
        <v>781160</v>
      </c>
      <c r="P10" s="111">
        <f t="shared" si="0"/>
        <v>781160</v>
      </c>
    </row>
    <row r="11" spans="1:18" ht="8.25" customHeight="1" x14ac:dyDescent="0.25">
      <c r="A11" s="57"/>
      <c r="B11" s="57"/>
      <c r="C11" s="57"/>
      <c r="D11" s="58"/>
      <c r="E11" s="58"/>
      <c r="F11" s="57"/>
      <c r="G11" s="111"/>
      <c r="H11" s="95"/>
      <c r="I11" s="95"/>
      <c r="J11" s="95"/>
      <c r="K11" s="95"/>
      <c r="L11" s="95"/>
      <c r="M11" s="95"/>
      <c r="N11" s="95"/>
      <c r="O11" s="95"/>
      <c r="P11" s="95"/>
    </row>
    <row r="12" spans="1:18" ht="17.399999999999999" x14ac:dyDescent="0.3">
      <c r="A12" s="57"/>
      <c r="B12" s="61" t="s">
        <v>0</v>
      </c>
      <c r="C12" s="57"/>
      <c r="D12" s="57"/>
      <c r="E12" s="57"/>
      <c r="F12" s="57"/>
      <c r="G12" s="111"/>
      <c r="H12" s="95"/>
      <c r="I12" s="95"/>
      <c r="J12" s="95"/>
      <c r="K12" s="95"/>
      <c r="L12" s="95"/>
      <c r="M12" s="95"/>
      <c r="N12" s="95"/>
      <c r="O12" s="95"/>
      <c r="P12" s="95"/>
    </row>
    <row r="13" spans="1:18" ht="8.25" customHeight="1" x14ac:dyDescent="0.25">
      <c r="A13" s="57"/>
      <c r="B13" s="57"/>
      <c r="C13" s="57"/>
      <c r="D13" s="57"/>
      <c r="E13" s="57"/>
      <c r="F13" s="57"/>
      <c r="G13" s="111"/>
      <c r="H13" s="95"/>
      <c r="I13" s="95"/>
      <c r="J13" s="95"/>
      <c r="K13" s="95"/>
      <c r="L13" s="95"/>
      <c r="M13" s="95"/>
      <c r="N13" s="95"/>
      <c r="O13" s="95"/>
      <c r="P13" s="95"/>
    </row>
    <row r="14" spans="1:18" ht="15" x14ac:dyDescent="0.25">
      <c r="A14" s="57"/>
      <c r="B14" s="57" t="s">
        <v>27</v>
      </c>
      <c r="C14" s="57" t="s">
        <v>25</v>
      </c>
      <c r="D14" s="68">
        <f>'p2 one year'!D16</f>
        <v>52</v>
      </c>
      <c r="E14" s="57"/>
      <c r="F14" s="57"/>
      <c r="G14" s="111">
        <f>D14*D15</f>
        <v>30160</v>
      </c>
      <c r="H14" s="132">
        <f>G14*(1+'Data to enter'!F6)</f>
        <v>31064.799999999999</v>
      </c>
      <c r="I14" s="132">
        <f>H14*(1+'Data to enter'!G6)</f>
        <v>31996.743999999999</v>
      </c>
      <c r="J14" s="132">
        <f>I14*(1+'Data to enter'!H6)</f>
        <v>32956.64632</v>
      </c>
      <c r="K14" s="132">
        <f>J14*(1+'Data to enter'!I6)</f>
        <v>33945.345709599998</v>
      </c>
      <c r="L14" s="132">
        <f>K14*(1+'Data to enter'!J6)</f>
        <v>34963.706080887998</v>
      </c>
      <c r="M14" s="132">
        <f>L14*(1+'Data to enter'!K6)</f>
        <v>36012.617263314642</v>
      </c>
      <c r="N14" s="132">
        <f>M14*(1+'Data to enter'!L6)</f>
        <v>37092.995781214078</v>
      </c>
      <c r="O14" s="132">
        <f>N14*(1+'Data to enter'!M6)</f>
        <v>38205.785654650499</v>
      </c>
      <c r="P14" s="132">
        <f>O14*(1+'Data to enter'!N6)</f>
        <v>39351.959224290018</v>
      </c>
    </row>
    <row r="15" spans="1:18" ht="15" x14ac:dyDescent="0.25">
      <c r="A15" s="57"/>
      <c r="B15" s="57"/>
      <c r="C15" s="57" t="s">
        <v>26</v>
      </c>
      <c r="D15" s="135">
        <f>'p2 one year'!D17</f>
        <v>580</v>
      </c>
      <c r="E15" s="57"/>
      <c r="F15" s="57"/>
      <c r="G15" s="57"/>
    </row>
    <row r="16" spans="1:18" ht="15" x14ac:dyDescent="0.25">
      <c r="A16" s="57"/>
      <c r="B16" s="57"/>
      <c r="C16" s="57"/>
      <c r="D16" s="57" t="s">
        <v>11</v>
      </c>
      <c r="E16" s="57"/>
      <c r="F16" s="57"/>
      <c r="G16" s="62">
        <f>G14/G6</f>
        <v>3.8666666666666669E-2</v>
      </c>
    </row>
    <row r="17" spans="1:18" ht="6.75" customHeight="1" x14ac:dyDescent="0.25">
      <c r="A17" s="57"/>
      <c r="B17" s="57"/>
      <c r="C17" s="57"/>
      <c r="D17" s="57"/>
      <c r="E17" s="57"/>
      <c r="F17" s="57"/>
      <c r="G17" s="57"/>
    </row>
    <row r="18" spans="1:18" ht="24" customHeight="1" x14ac:dyDescent="0.3">
      <c r="A18" s="57"/>
      <c r="B18" s="64" t="s">
        <v>1</v>
      </c>
      <c r="C18" s="65"/>
      <c r="D18" s="57"/>
      <c r="E18" s="57"/>
      <c r="F18" s="57"/>
      <c r="G18" s="57"/>
    </row>
    <row r="19" spans="1:18" ht="15" x14ac:dyDescent="0.25">
      <c r="A19" s="57"/>
      <c r="B19" s="57"/>
      <c r="C19" s="57"/>
      <c r="D19" s="57"/>
      <c r="E19" s="57"/>
      <c r="F19" s="57"/>
      <c r="G19" s="57"/>
    </row>
    <row r="20" spans="1:18" ht="15" x14ac:dyDescent="0.25">
      <c r="A20" s="57"/>
      <c r="B20" s="57" t="s">
        <v>7</v>
      </c>
      <c r="C20" s="57"/>
      <c r="D20" s="57"/>
      <c r="E20" s="136"/>
      <c r="F20" s="136"/>
      <c r="G20" s="137">
        <f>'p2 one year'!G22</f>
        <v>1700</v>
      </c>
      <c r="H20" s="132">
        <f>G20*(1+'Data to enter'!F8)</f>
        <v>1751</v>
      </c>
      <c r="I20" s="132">
        <f>H20*(1+'Data to enter'!G8)</f>
        <v>1803.53</v>
      </c>
      <c r="J20" s="132">
        <f>I20*(1+'Data to enter'!H8)</f>
        <v>1857.6359</v>
      </c>
      <c r="K20" s="132">
        <f>J20*(1+'Data to enter'!I8)</f>
        <v>1913.364977</v>
      </c>
      <c r="L20" s="132">
        <f>K20*(1+'Data to enter'!J8)</f>
        <v>1970.7659263099999</v>
      </c>
      <c r="M20" s="132">
        <f>L20*(1+'Data to enter'!K8)</f>
        <v>2029.8889040992999</v>
      </c>
      <c r="N20" s="132">
        <f>M20*(1+'Data to enter'!L8)</f>
        <v>2090.785571222279</v>
      </c>
      <c r="O20" s="132">
        <f>N20*(1+'Data to enter'!M8)</f>
        <v>2153.5091383589474</v>
      </c>
      <c r="P20" s="132">
        <f>O20*(1+'Data to enter'!N8)</f>
        <v>2218.1144125097157</v>
      </c>
    </row>
    <row r="21" spans="1:18" ht="15" x14ac:dyDescent="0.25">
      <c r="A21" s="57"/>
      <c r="B21" s="57" t="s">
        <v>8</v>
      </c>
      <c r="C21" s="57"/>
      <c r="D21" s="57"/>
      <c r="E21" s="136"/>
      <c r="F21" s="136"/>
      <c r="G21" s="137">
        <f>'p2 one year'!G23</f>
        <v>50</v>
      </c>
      <c r="H21" s="132">
        <f>G21*(1+'Data to enter'!F8)</f>
        <v>51.5</v>
      </c>
      <c r="I21" s="132">
        <f>H21*(1+'Data to enter'!G8)</f>
        <v>53.045000000000002</v>
      </c>
      <c r="J21" s="132">
        <f>I21*(1+'Data to enter'!H8)</f>
        <v>54.63635</v>
      </c>
      <c r="K21" s="132">
        <f>J21*(1+'Data to enter'!I8)</f>
        <v>56.275440500000002</v>
      </c>
      <c r="L21" s="132">
        <f>K21*(1+'Data to enter'!J8)</f>
        <v>57.963703715000001</v>
      </c>
      <c r="M21" s="132">
        <f>L21*(1+'Data to enter'!K8)</f>
        <v>59.702614826450002</v>
      </c>
      <c r="N21" s="132">
        <f>M21*(1+'Data to enter'!L8)</f>
        <v>61.493693271243501</v>
      </c>
      <c r="O21" s="132">
        <f>N21*(1+'Data to enter'!M8)</f>
        <v>63.338504069380811</v>
      </c>
      <c r="P21" s="132">
        <f>O21*(1+'Data to enter'!N8)</f>
        <v>65.238659191462233</v>
      </c>
    </row>
    <row r="22" spans="1:18" ht="15" x14ac:dyDescent="0.25">
      <c r="A22" s="57"/>
      <c r="B22" s="57" t="s">
        <v>14</v>
      </c>
      <c r="C22" s="57"/>
      <c r="D22" s="57"/>
      <c r="E22" s="136"/>
      <c r="F22" s="136"/>
      <c r="G22" s="137">
        <f>'p2 one year'!G24</f>
        <v>0</v>
      </c>
      <c r="H22" s="132">
        <f>G22*(1+'Data to enter'!F8)</f>
        <v>0</v>
      </c>
      <c r="I22" s="132">
        <f>H22*(1+'Data to enter'!G8)</f>
        <v>0</v>
      </c>
      <c r="J22" s="132">
        <f>I22*(1+'Data to enter'!H8)</f>
        <v>0</v>
      </c>
      <c r="K22" s="132">
        <f>J22*(1+'Data to enter'!I8)</f>
        <v>0</v>
      </c>
      <c r="L22" s="132">
        <f>K22*(1+'Data to enter'!J8)</f>
        <v>0</v>
      </c>
      <c r="M22" s="132">
        <f>L22*(1+'Data to enter'!K8)</f>
        <v>0</v>
      </c>
      <c r="N22" s="132">
        <f>M22*(1+'Data to enter'!L8)</f>
        <v>0</v>
      </c>
      <c r="O22" s="132">
        <f>N22*(1+'Data to enter'!M8)</f>
        <v>0</v>
      </c>
      <c r="P22" s="132">
        <f>O22*(1+'Data to enter'!N8)</f>
        <v>0</v>
      </c>
    </row>
    <row r="23" spans="1:18" ht="15" x14ac:dyDescent="0.25">
      <c r="A23" s="57"/>
      <c r="B23" s="57" t="s">
        <v>2</v>
      </c>
      <c r="C23" s="57"/>
      <c r="D23" s="57"/>
      <c r="E23" s="136"/>
      <c r="F23" s="136"/>
      <c r="G23" s="137">
        <f>'p2 one year'!G25</f>
        <v>1200</v>
      </c>
      <c r="H23" s="132">
        <f>G23*(1+'Data to enter'!F8)</f>
        <v>1236</v>
      </c>
      <c r="I23" s="132">
        <f>H23*(1+'Data to enter'!G8)</f>
        <v>1273.08</v>
      </c>
      <c r="J23" s="132">
        <f>I23*(1+'Data to enter'!H8)</f>
        <v>1311.2724000000001</v>
      </c>
      <c r="K23" s="132">
        <f>J23*(1+'Data to enter'!I8)</f>
        <v>1350.610572</v>
      </c>
      <c r="L23" s="132">
        <f>K23*(1+'Data to enter'!J8)</f>
        <v>1391.12888916</v>
      </c>
      <c r="M23" s="132">
        <f>L23*(1+'Data to enter'!K8)</f>
        <v>1432.8627558348001</v>
      </c>
      <c r="N23" s="132">
        <f>M23*(1+'Data to enter'!L8)</f>
        <v>1475.848638509844</v>
      </c>
      <c r="O23" s="132">
        <f>N23*(1+'Data to enter'!M8)</f>
        <v>1520.1240976651393</v>
      </c>
      <c r="P23" s="132">
        <f>O23*(1+'Data to enter'!N8)</f>
        <v>1565.7278205950936</v>
      </c>
    </row>
    <row r="24" spans="1:18" ht="15" x14ac:dyDescent="0.25">
      <c r="A24" s="57"/>
      <c r="B24" s="57" t="s">
        <v>28</v>
      </c>
      <c r="C24" s="57"/>
      <c r="D24" s="57" t="s">
        <v>29</v>
      </c>
      <c r="E24" s="138"/>
      <c r="F24" s="136"/>
      <c r="G24" s="111">
        <f>(G10/2*'Data to enter'!F10)+('no interest p2 10 year'!G10/2*'Data to enter'!F11)</f>
        <v>20622.624</v>
      </c>
      <c r="H24" s="111">
        <f>(H10/2*'Data to enter'!G10)+('no interest p2 10 year'!H10/2*'Data to enter'!G11)</f>
        <v>21052.262000000002</v>
      </c>
      <c r="I24" s="111">
        <f>(I10/2*'Data to enter'!H10)+('no interest p2 10 year'!I10/2*'Data to enter'!H11)</f>
        <v>21442.842000000001</v>
      </c>
      <c r="J24" s="111">
        <f>(J10/2*'Data to enter'!I10)+('no interest p2 10 year'!J10/2*'Data to enter'!I11)</f>
        <v>22419.292000000001</v>
      </c>
      <c r="K24" s="139">
        <f>(K10/2*'Data to enter'!J10)+('no interest p2 10 year'!K10/2*'Data to enter'!J11)</f>
        <v>23395.741999999998</v>
      </c>
      <c r="L24" s="139">
        <f>(L10/2*'Data to enter'!K10)+('no interest p2 10 year'!L10/2*'Data to enter'!K11)</f>
        <v>28317.050000000003</v>
      </c>
      <c r="M24" s="111">
        <f>(M10/2*'Data to enter'!L10)+('no interest p2 10 year'!M10/2*'Data to enter'!L11)</f>
        <v>29293.5</v>
      </c>
      <c r="N24" s="111">
        <f>(N10/2*'Data to enter'!M10)+('no interest p2 10 year'!N10/2*'Data to enter'!M11)</f>
        <v>30269.95</v>
      </c>
      <c r="O24" s="111">
        <f>(O10/2*'Data to enter'!N10)+('no interest p2 10 year'!O10/2*'Data to enter'!N11)</f>
        <v>31246.400000000001</v>
      </c>
      <c r="P24" s="111">
        <f>(P10/2*'Data to enter'!O10)+('no interest p2 10 year'!P10/2*'Data to enter'!O11)</f>
        <v>32222.850000000002</v>
      </c>
    </row>
    <row r="25" spans="1:18" ht="15" x14ac:dyDescent="0.25">
      <c r="A25" s="57"/>
      <c r="B25" s="57" t="s">
        <v>95</v>
      </c>
      <c r="C25" s="57"/>
      <c r="D25" s="57"/>
      <c r="E25" s="136"/>
      <c r="F25" s="136"/>
      <c r="G25" s="137">
        <f>'p2 one year'!G27</f>
        <v>3119.72</v>
      </c>
      <c r="H25" s="111">
        <f>G25*(1+'Data to enter'!F8)</f>
        <v>3213.3116</v>
      </c>
      <c r="I25" s="111">
        <f>H25*(1+'Data to enter'!G8)</f>
        <v>3309.7109479999999</v>
      </c>
      <c r="J25" s="111">
        <f>I25*(1+'Data to enter'!H8)</f>
        <v>3409.0022764400001</v>
      </c>
      <c r="K25" s="111">
        <f>J25*(1+'Data to enter'!I8)</f>
        <v>3511.2723447332</v>
      </c>
      <c r="L25" s="111">
        <f>K25*(1+'Data to enter'!J8)</f>
        <v>3616.610515075196</v>
      </c>
      <c r="M25" s="111">
        <f>L25*(1+'Data to enter'!K8)</f>
        <v>3725.108830527452</v>
      </c>
      <c r="N25" s="111">
        <f>M25*(1+'Data to enter'!L8)</f>
        <v>3836.8620954432758</v>
      </c>
      <c r="O25" s="111">
        <f>N25*(1+'Data to enter'!M8)</f>
        <v>3951.967958306574</v>
      </c>
      <c r="P25" s="111">
        <f>O25*(1+'Data to enter'!N8)</f>
        <v>4070.5269970557715</v>
      </c>
    </row>
    <row r="26" spans="1:18" ht="15" x14ac:dyDescent="0.25">
      <c r="A26" s="57"/>
      <c r="B26" s="57" t="s">
        <v>3</v>
      </c>
      <c r="C26" s="57"/>
      <c r="D26" s="57"/>
      <c r="E26" s="136"/>
      <c r="F26" s="136"/>
      <c r="G26" s="137">
        <f>'p2 one year'!G28</f>
        <v>3000</v>
      </c>
      <c r="H26" s="111">
        <f>G26*(1+'Data to enter'!F8)</f>
        <v>3090</v>
      </c>
      <c r="I26" s="111">
        <f>H26*(1+'Data to enter'!G8)</f>
        <v>3182.7000000000003</v>
      </c>
      <c r="J26" s="111">
        <f>I26*(1+'Data to enter'!H8)</f>
        <v>3278.1810000000005</v>
      </c>
      <c r="K26" s="111">
        <f>J26*(1+'Data to enter'!I8)</f>
        <v>3376.5264300000008</v>
      </c>
      <c r="L26" s="111">
        <f>K26*(1+'Data to enter'!J8)</f>
        <v>3477.8222229000007</v>
      </c>
      <c r="M26" s="111">
        <f>L26*(1+'Data to enter'!K8)</f>
        <v>3582.1568895870009</v>
      </c>
      <c r="N26" s="111">
        <f>M26*(1+'Data to enter'!L8)</f>
        <v>3689.621596274611</v>
      </c>
      <c r="O26" s="111">
        <f>N26*(1+'Data to enter'!M8)</f>
        <v>3800.3102441628494</v>
      </c>
      <c r="P26" s="111">
        <f>O26*(1+'Data to enter'!N8)</f>
        <v>3914.3195514877348</v>
      </c>
    </row>
    <row r="27" spans="1:18" ht="15" x14ac:dyDescent="0.25">
      <c r="A27" s="57"/>
      <c r="B27" s="57" t="s">
        <v>6</v>
      </c>
      <c r="C27" s="57"/>
      <c r="D27" s="57"/>
      <c r="E27" s="136"/>
      <c r="F27" s="136"/>
      <c r="G27" s="137">
        <f>'p2 one year'!G29</f>
        <v>500</v>
      </c>
      <c r="H27" s="111">
        <f>G27*(1+'Data to enter'!F8)</f>
        <v>515</v>
      </c>
      <c r="I27" s="111">
        <f>H27*(1+'Data to enter'!G8)</f>
        <v>530.45000000000005</v>
      </c>
      <c r="J27" s="111">
        <f>I27*(1+'Data to enter'!H8)</f>
        <v>546.36350000000004</v>
      </c>
      <c r="K27" s="111">
        <f>J27*(1+'Data to enter'!I8)</f>
        <v>562.75440500000002</v>
      </c>
      <c r="L27" s="111">
        <f>K27*(1+'Data to enter'!J8)</f>
        <v>579.63703715000008</v>
      </c>
      <c r="M27" s="111">
        <f>L27*(1+'Data to enter'!K8)</f>
        <v>597.02614826450008</v>
      </c>
      <c r="N27" s="111">
        <f>M27*(1+'Data to enter'!L8)</f>
        <v>614.93693271243512</v>
      </c>
      <c r="O27" s="111">
        <f>N27*(1+'Data to enter'!M8)</f>
        <v>633.38504069380815</v>
      </c>
      <c r="P27" s="111">
        <f>O27*(1+'Data to enter'!N8)</f>
        <v>652.38659191462239</v>
      </c>
    </row>
    <row r="28" spans="1:18" ht="15" x14ac:dyDescent="0.25">
      <c r="A28" s="57"/>
      <c r="B28" s="57" t="s">
        <v>22</v>
      </c>
      <c r="C28" s="57"/>
      <c r="D28" s="57"/>
      <c r="E28" s="136"/>
      <c r="F28" s="136"/>
      <c r="G28" s="137">
        <f>'p2 one year'!G30</f>
        <v>100</v>
      </c>
      <c r="H28" s="111">
        <f>G28*(1+'Data to enter'!F8)</f>
        <v>103</v>
      </c>
      <c r="I28" s="111">
        <f>H28*(1+'Data to enter'!G8)</f>
        <v>106.09</v>
      </c>
      <c r="J28" s="111">
        <f>I28*(1+'Data to enter'!H8)</f>
        <v>109.2727</v>
      </c>
      <c r="K28" s="111">
        <f>J28*(1+'Data to enter'!I8)</f>
        <v>112.550881</v>
      </c>
      <c r="L28" s="111">
        <f>K28*(1+'Data to enter'!J8)</f>
        <v>115.92740743</v>
      </c>
      <c r="M28" s="111">
        <f>L28*(1+'Data to enter'!K8)</f>
        <v>119.4052296529</v>
      </c>
      <c r="N28" s="111">
        <f>M28*(1+'Data to enter'!L8)</f>
        <v>122.987386542487</v>
      </c>
      <c r="O28" s="111">
        <f>N28*(1+'Data to enter'!M8)</f>
        <v>126.67700813876162</v>
      </c>
      <c r="P28" s="111">
        <f>O28*(1+'Data to enter'!N8)</f>
        <v>130.47731838292447</v>
      </c>
    </row>
    <row r="29" spans="1:18" ht="15" x14ac:dyDescent="0.25">
      <c r="A29" s="57"/>
      <c r="B29" s="57" t="s">
        <v>23</v>
      </c>
      <c r="C29" s="57"/>
      <c r="D29" s="57"/>
      <c r="E29" s="136"/>
      <c r="F29" s="136"/>
      <c r="G29" s="137">
        <f>'p2 one year'!G31</f>
        <v>300</v>
      </c>
      <c r="H29" s="111">
        <f>G29*(1+'Data to enter'!F8)</f>
        <v>309</v>
      </c>
      <c r="I29" s="111">
        <f>H29*(1+'Data to enter'!G8)</f>
        <v>318.27</v>
      </c>
      <c r="J29" s="111">
        <f>I29*(1+'Data to enter'!H8)</f>
        <v>327.81810000000002</v>
      </c>
      <c r="K29" s="111">
        <f>J29*(1+'Data to enter'!I8)</f>
        <v>337.65264300000001</v>
      </c>
      <c r="L29" s="111">
        <f>K29*(1+'Data to enter'!J8)</f>
        <v>347.78222228999999</v>
      </c>
      <c r="M29" s="111">
        <f>L29*(1+'Data to enter'!K8)</f>
        <v>358.21568895870001</v>
      </c>
      <c r="N29" s="111">
        <f>M29*(1+'Data to enter'!L8)</f>
        <v>368.96215962746101</v>
      </c>
      <c r="O29" s="111">
        <f>N29*(1+'Data to enter'!M8)</f>
        <v>380.03102441628482</v>
      </c>
      <c r="P29" s="111">
        <f>O29*(1+'Data to enter'!N8)</f>
        <v>391.4319551487734</v>
      </c>
    </row>
    <row r="30" spans="1:18" ht="15" x14ac:dyDescent="0.25">
      <c r="A30" s="57"/>
      <c r="B30" s="57" t="s">
        <v>5</v>
      </c>
      <c r="C30" s="57"/>
      <c r="D30" s="57"/>
      <c r="E30" s="136"/>
      <c r="F30" s="136"/>
      <c r="G30" s="137">
        <f>'p2 one year'!G32</f>
        <v>86</v>
      </c>
      <c r="H30" s="111">
        <f>G30*(1+'Data to enter'!F8)</f>
        <v>88.58</v>
      </c>
      <c r="I30" s="111">
        <f>H30*(1+'Data to enter'!G8)</f>
        <v>91.237399999999994</v>
      </c>
      <c r="J30" s="111">
        <f>I30*(1+'Data to enter'!H8)</f>
        <v>93.974521999999993</v>
      </c>
      <c r="K30" s="111">
        <f>J30*(1+'Data to enter'!I8)</f>
        <v>96.793757659999997</v>
      </c>
      <c r="L30" s="111">
        <f>K30*(1+'Data to enter'!J8)</f>
        <v>99.697570389800006</v>
      </c>
      <c r="M30" s="111">
        <f>L30*(1+'Data to enter'!K8)</f>
        <v>102.68849750149401</v>
      </c>
      <c r="N30" s="111">
        <f>M30*(1+'Data to enter'!L8)</f>
        <v>105.76915242653884</v>
      </c>
      <c r="O30" s="111">
        <f>N30*(1+'Data to enter'!M8)</f>
        <v>108.94222699933501</v>
      </c>
      <c r="P30" s="111">
        <f>O30*(1+'Data to enter'!N8)</f>
        <v>112.21049380931505</v>
      </c>
    </row>
    <row r="31" spans="1:18" ht="15" x14ac:dyDescent="0.25">
      <c r="A31" s="57"/>
      <c r="B31" s="57"/>
      <c r="C31" s="57"/>
      <c r="D31" s="57"/>
      <c r="E31" s="57"/>
      <c r="F31" s="57"/>
      <c r="G31" s="57"/>
    </row>
    <row r="32" spans="1:18" ht="17.399999999999999" x14ac:dyDescent="0.3">
      <c r="A32" s="57"/>
      <c r="B32" s="64" t="s">
        <v>4</v>
      </c>
      <c r="C32" s="64"/>
      <c r="D32" s="57"/>
      <c r="E32" s="57"/>
      <c r="F32" s="57"/>
      <c r="G32" s="140">
        <f>SUM(G20:G30)</f>
        <v>30678.344000000001</v>
      </c>
      <c r="H32" s="140">
        <f t="shared" ref="H32:P32" si="1">SUM(H20:H30)</f>
        <v>31409.653600000005</v>
      </c>
      <c r="I32" s="140">
        <f t="shared" si="1"/>
        <v>32110.955348000003</v>
      </c>
      <c r="J32" s="140">
        <f t="shared" si="1"/>
        <v>33407.448748440002</v>
      </c>
      <c r="K32" s="140">
        <f t="shared" si="1"/>
        <v>34713.543450893201</v>
      </c>
      <c r="L32" s="140">
        <f t="shared" si="1"/>
        <v>39974.385494419999</v>
      </c>
      <c r="M32" s="140">
        <f t="shared" si="1"/>
        <v>41300.555559252593</v>
      </c>
      <c r="N32" s="140">
        <f t="shared" si="1"/>
        <v>42637.217226030181</v>
      </c>
      <c r="O32" s="140">
        <f t="shared" si="1"/>
        <v>43984.68524281108</v>
      </c>
      <c r="P32" s="140">
        <f t="shared" si="1"/>
        <v>45343.283800095414</v>
      </c>
      <c r="Q32" s="95"/>
      <c r="R32" s="95"/>
    </row>
    <row r="33" spans="1:18" ht="15" x14ac:dyDescent="0.25">
      <c r="A33" s="57"/>
      <c r="B33" s="57"/>
      <c r="C33" s="57"/>
      <c r="D33" s="57"/>
      <c r="E33" s="57"/>
      <c r="F33" s="57"/>
      <c r="G33" s="111"/>
      <c r="H33" s="95"/>
      <c r="I33" s="95"/>
      <c r="J33" s="95"/>
      <c r="K33" s="95"/>
      <c r="L33" s="95"/>
      <c r="M33" s="95"/>
      <c r="N33" s="95"/>
      <c r="O33" s="95"/>
      <c r="P33" s="95"/>
      <c r="Q33" s="95"/>
      <c r="R33" s="95"/>
    </row>
    <row r="34" spans="1:18" ht="15" x14ac:dyDescent="0.25">
      <c r="A34" s="141"/>
      <c r="B34" s="142" t="s">
        <v>10</v>
      </c>
      <c r="C34" s="142"/>
      <c r="D34" s="142"/>
      <c r="E34" s="141"/>
      <c r="F34" s="141"/>
      <c r="G34" s="143">
        <f>G14-G32</f>
        <v>-518.34400000000096</v>
      </c>
      <c r="H34" s="143">
        <f t="shared" ref="H34:P34" si="2">H14-H32</f>
        <v>-344.85360000000583</v>
      </c>
      <c r="I34" s="143">
        <f t="shared" si="2"/>
        <v>-114.21134800000436</v>
      </c>
      <c r="J34" s="143">
        <f t="shared" si="2"/>
        <v>-450.80242844000168</v>
      </c>
      <c r="K34" s="143">
        <f t="shared" si="2"/>
        <v>-768.19774129320285</v>
      </c>
      <c r="L34" s="143">
        <f t="shared" si="2"/>
        <v>-5010.6794135320015</v>
      </c>
      <c r="M34" s="143">
        <f t="shared" si="2"/>
        <v>-5287.9382959379509</v>
      </c>
      <c r="N34" s="143">
        <f t="shared" si="2"/>
        <v>-5544.221444816103</v>
      </c>
      <c r="O34" s="143">
        <f t="shared" si="2"/>
        <v>-5778.8995881605806</v>
      </c>
      <c r="P34" s="143">
        <f t="shared" si="2"/>
        <v>-5991.3245758053963</v>
      </c>
      <c r="Q34" s="95"/>
      <c r="R34" s="95"/>
    </row>
    <row r="35" spans="1:18" ht="15" x14ac:dyDescent="0.25">
      <c r="A35" s="136"/>
      <c r="B35" s="68"/>
      <c r="C35" s="68"/>
      <c r="D35" s="68"/>
      <c r="E35" s="136"/>
      <c r="F35" s="136"/>
      <c r="G35" s="135"/>
      <c r="H35" s="135"/>
      <c r="I35" s="135"/>
      <c r="J35" s="135"/>
      <c r="K35" s="135"/>
      <c r="L35" s="135"/>
      <c r="M35" s="135"/>
      <c r="N35" s="135"/>
      <c r="O35" s="135"/>
      <c r="P35" s="135"/>
      <c r="Q35" s="95"/>
      <c r="R35" s="95"/>
    </row>
    <row r="36" spans="1:18" ht="15" x14ac:dyDescent="0.25">
      <c r="A36" s="183"/>
      <c r="B36" s="184" t="s">
        <v>147</v>
      </c>
      <c r="C36" s="184"/>
      <c r="D36" s="184"/>
      <c r="E36" s="183"/>
      <c r="F36" s="183"/>
      <c r="G36" s="185"/>
      <c r="H36" s="185">
        <f>H24/2*0.25</f>
        <v>2631.5327500000003</v>
      </c>
      <c r="I36" s="185">
        <f>I24*0.25</f>
        <v>5360.7105000000001</v>
      </c>
      <c r="J36" s="185">
        <f>J24/2</f>
        <v>11209.646000000001</v>
      </c>
      <c r="K36" s="185">
        <f>K24*0.75</f>
        <v>17546.806499999999</v>
      </c>
      <c r="L36" s="185">
        <f>L24</f>
        <v>28317.050000000003</v>
      </c>
      <c r="M36" s="185">
        <f t="shared" ref="M36:P36" si="3">M24</f>
        <v>29293.5</v>
      </c>
      <c r="N36" s="185">
        <f t="shared" si="3"/>
        <v>30269.95</v>
      </c>
      <c r="O36" s="185">
        <f t="shared" si="3"/>
        <v>31246.400000000001</v>
      </c>
      <c r="P36" s="185">
        <f t="shared" si="3"/>
        <v>32222.850000000002</v>
      </c>
      <c r="Q36" s="95"/>
      <c r="R36" s="95"/>
    </row>
    <row r="37" spans="1:18" ht="15" x14ac:dyDescent="0.25">
      <c r="A37" s="57"/>
      <c r="B37" s="57"/>
      <c r="C37" s="57"/>
      <c r="D37" s="57"/>
      <c r="E37" s="57"/>
      <c r="F37" s="57"/>
      <c r="G37" s="111"/>
      <c r="H37" s="95"/>
      <c r="I37" s="95"/>
      <c r="J37" s="95"/>
      <c r="K37" s="95"/>
      <c r="L37" s="95"/>
      <c r="M37" s="95"/>
      <c r="N37" s="95"/>
      <c r="O37" s="95"/>
      <c r="P37" s="95"/>
      <c r="Q37" s="95"/>
      <c r="R37" s="95"/>
    </row>
    <row r="38" spans="1:18" ht="15" x14ac:dyDescent="0.25">
      <c r="A38" s="57"/>
      <c r="B38" s="60" t="s">
        <v>12</v>
      </c>
      <c r="C38" s="60"/>
      <c r="D38" s="57"/>
      <c r="E38" s="57" t="s">
        <v>15</v>
      </c>
      <c r="F38" s="57"/>
      <c r="G38" s="111"/>
      <c r="H38" s="95"/>
      <c r="I38" s="95"/>
      <c r="J38" s="95"/>
      <c r="K38" s="95"/>
      <c r="L38" s="95"/>
      <c r="M38" s="95"/>
      <c r="N38" s="95"/>
      <c r="O38" s="95"/>
      <c r="P38" s="95"/>
      <c r="Q38" s="95"/>
      <c r="R38" s="95"/>
    </row>
    <row r="39" spans="1:18" ht="15" x14ac:dyDescent="0.25">
      <c r="A39" s="57"/>
      <c r="B39" s="57"/>
      <c r="C39" s="57"/>
      <c r="D39" s="57"/>
      <c r="E39" s="57" t="s">
        <v>16</v>
      </c>
      <c r="F39" s="57"/>
      <c r="G39" s="144">
        <f>'p2 one year'!H39</f>
        <v>6000</v>
      </c>
      <c r="H39" s="144">
        <f>G39*0.75</f>
        <v>4500</v>
      </c>
      <c r="I39" s="144">
        <f t="shared" ref="I39:P39" si="4">H39*0.75</f>
        <v>3375</v>
      </c>
      <c r="J39" s="144">
        <f t="shared" si="4"/>
        <v>2531.25</v>
      </c>
      <c r="K39" s="144">
        <f t="shared" si="4"/>
        <v>1898.4375</v>
      </c>
      <c r="L39" s="144">
        <f t="shared" si="4"/>
        <v>1423.828125</v>
      </c>
      <c r="M39" s="144">
        <f t="shared" si="4"/>
        <v>1067.87109375</v>
      </c>
      <c r="N39" s="144">
        <f t="shared" si="4"/>
        <v>800.9033203125</v>
      </c>
      <c r="O39" s="144">
        <f t="shared" si="4"/>
        <v>600.677490234375</v>
      </c>
      <c r="P39" s="144">
        <f t="shared" si="4"/>
        <v>450.50811767578125</v>
      </c>
      <c r="Q39" s="95"/>
      <c r="R39" s="95"/>
    </row>
    <row r="40" spans="1:18" ht="15" x14ac:dyDescent="0.25">
      <c r="A40" s="57"/>
      <c r="B40" s="57"/>
      <c r="C40" s="57"/>
      <c r="D40" s="57"/>
      <c r="E40" s="57"/>
      <c r="F40" s="57"/>
      <c r="G40" s="111"/>
      <c r="H40" s="95"/>
      <c r="I40" s="95"/>
      <c r="J40" s="95"/>
      <c r="K40" s="95"/>
      <c r="L40" s="95"/>
      <c r="M40" s="95"/>
      <c r="N40" s="95"/>
      <c r="O40" s="95"/>
      <c r="P40" s="95"/>
      <c r="Q40" s="95"/>
      <c r="R40" s="95"/>
    </row>
    <row r="41" spans="1:18" ht="15" x14ac:dyDescent="0.25">
      <c r="A41" s="57"/>
      <c r="B41" s="57"/>
      <c r="C41" s="57"/>
      <c r="D41" s="57"/>
      <c r="E41" s="57"/>
      <c r="F41" s="57"/>
      <c r="G41" s="111"/>
      <c r="H41" s="95"/>
      <c r="I41" s="95"/>
      <c r="J41" s="95"/>
      <c r="K41" s="95"/>
      <c r="L41" s="95"/>
      <c r="M41" s="95"/>
      <c r="N41" s="95"/>
      <c r="O41" s="95"/>
      <c r="P41" s="95"/>
      <c r="Q41" s="95"/>
      <c r="R41" s="95"/>
    </row>
    <row r="42" spans="1:18" ht="15" x14ac:dyDescent="0.25">
      <c r="A42" s="57"/>
      <c r="B42" s="60" t="s">
        <v>13</v>
      </c>
      <c r="C42" s="60"/>
      <c r="D42" s="60"/>
      <c r="E42" s="60"/>
      <c r="F42" s="60"/>
      <c r="G42" s="66">
        <f>G34-G39+G36</f>
        <v>-6518.344000000001</v>
      </c>
      <c r="H42" s="66">
        <f t="shared" ref="H42:P42" si="5">H34-H39+H36</f>
        <v>-2213.3208500000055</v>
      </c>
      <c r="I42" s="66">
        <f t="shared" si="5"/>
        <v>1871.4991519999958</v>
      </c>
      <c r="J42" s="66">
        <f t="shared" si="5"/>
        <v>8227.593571559999</v>
      </c>
      <c r="K42" s="66">
        <f t="shared" si="5"/>
        <v>14880.171258706796</v>
      </c>
      <c r="L42" s="66">
        <f t="shared" si="5"/>
        <v>21882.542461468001</v>
      </c>
      <c r="M42" s="66">
        <f t="shared" si="5"/>
        <v>22937.690610312049</v>
      </c>
      <c r="N42" s="66">
        <f t="shared" si="5"/>
        <v>23924.825234871398</v>
      </c>
      <c r="O42" s="66">
        <f t="shared" si="5"/>
        <v>24866.822921605046</v>
      </c>
      <c r="P42" s="66">
        <f t="shared" si="5"/>
        <v>25781.017306518825</v>
      </c>
      <c r="Q42" s="95"/>
      <c r="R42" s="95"/>
    </row>
    <row r="43" spans="1:18" ht="15" x14ac:dyDescent="0.25">
      <c r="A43" s="57"/>
      <c r="B43" s="60"/>
      <c r="C43" s="60"/>
      <c r="D43" s="60"/>
      <c r="E43" s="60"/>
      <c r="F43" s="60"/>
      <c r="G43" s="66"/>
      <c r="H43" s="95"/>
      <c r="I43" s="95"/>
      <c r="J43" s="95"/>
      <c r="K43" s="95"/>
      <c r="L43" s="95"/>
      <c r="M43" s="95"/>
      <c r="N43" s="95"/>
      <c r="O43" s="95"/>
      <c r="P43" s="95"/>
      <c r="Q43" s="95"/>
      <c r="R43" s="95"/>
    </row>
    <row r="44" spans="1:18" ht="17.399999999999999" x14ac:dyDescent="0.3">
      <c r="A44" s="57"/>
      <c r="B44" s="70" t="s">
        <v>30</v>
      </c>
      <c r="C44" s="60"/>
      <c r="D44" s="60"/>
      <c r="E44" s="138"/>
      <c r="F44" s="60"/>
      <c r="G44" s="66">
        <f>IF(G42&lt;0,0,-(G42*$G$45*$E$45)+-(G42*$G$46*$E$46))</f>
        <v>0</v>
      </c>
      <c r="H44" s="66">
        <f>IF(H42&lt;0,0,-(H42*$G$45*$E$45)+-(H42*$G$46*$E$46))</f>
        <v>0</v>
      </c>
      <c r="I44" s="66">
        <f t="shared" ref="I44:P44" si="6">IF(I42&lt;0,0,-(I42*$G$45*$E$45)+-(I42*$G$46*$E$46))</f>
        <v>-614.69389647439868</v>
      </c>
      <c r="J44" s="66">
        <f t="shared" si="6"/>
        <v>-2702.3531085788818</v>
      </c>
      <c r="K44" s="66">
        <f t="shared" si="6"/>
        <v>-4887.3922499222472</v>
      </c>
      <c r="L44" s="66">
        <f t="shared" si="6"/>
        <v>-7187.3210714691659</v>
      </c>
      <c r="M44" s="66">
        <f t="shared" si="6"/>
        <v>-7533.8844809569928</v>
      </c>
      <c r="N44" s="66">
        <f t="shared" si="6"/>
        <v>-7858.1088483935109</v>
      </c>
      <c r="O44" s="66">
        <f t="shared" si="6"/>
        <v>-8167.5079886011772</v>
      </c>
      <c r="P44" s="66">
        <f t="shared" si="6"/>
        <v>-8467.7751343261079</v>
      </c>
      <c r="Q44" s="95"/>
      <c r="R44" s="95">
        <f>SUM(H44:P44)</f>
        <v>-47419.036778722482</v>
      </c>
    </row>
    <row r="45" spans="1:18" ht="15" x14ac:dyDescent="0.25">
      <c r="A45" s="57"/>
      <c r="B45" s="60"/>
      <c r="C45" s="60" t="s">
        <v>32</v>
      </c>
      <c r="D45" s="60" t="s">
        <v>31</v>
      </c>
      <c r="E45" s="138">
        <f>'p2 one year'!E45</f>
        <v>0.33</v>
      </c>
      <c r="F45" s="60"/>
      <c r="G45" s="145">
        <f>'p2 one year'!G45</f>
        <v>0.99</v>
      </c>
      <c r="K45" s="146"/>
      <c r="L45" s="146"/>
      <c r="M45" s="146"/>
      <c r="N45" s="146"/>
    </row>
    <row r="46" spans="1:18" ht="15" x14ac:dyDescent="0.25">
      <c r="A46" s="57"/>
      <c r="B46" s="60"/>
      <c r="C46" s="60" t="s">
        <v>34</v>
      </c>
      <c r="D46" s="60"/>
      <c r="E46" s="138">
        <f>'p2 one year'!E46</f>
        <v>0.17499999999999999</v>
      </c>
      <c r="F46" s="60"/>
      <c r="G46" s="145">
        <f>'p2 one year'!G46</f>
        <v>0.01</v>
      </c>
    </row>
    <row r="47" spans="1:18" ht="15" x14ac:dyDescent="0.25">
      <c r="A47" s="57"/>
      <c r="B47" s="72"/>
      <c r="C47" s="72"/>
      <c r="D47" s="72"/>
      <c r="E47" s="72"/>
      <c r="F47" s="72"/>
      <c r="G47" s="72"/>
    </row>
    <row r="48" spans="1:18" ht="18" thickBot="1" x14ac:dyDescent="0.35">
      <c r="A48" s="57"/>
      <c r="B48" s="60" t="s">
        <v>36</v>
      </c>
      <c r="C48" s="72"/>
      <c r="D48" s="72"/>
      <c r="E48" s="72"/>
      <c r="F48" s="72"/>
      <c r="G48" s="147">
        <f>G34+G44</f>
        <v>-518.34400000000096</v>
      </c>
      <c r="H48" s="147">
        <f t="shared" ref="H48:P48" si="7">H34+H44</f>
        <v>-344.85360000000583</v>
      </c>
      <c r="I48" s="147">
        <f t="shared" si="7"/>
        <v>-728.90524447440305</v>
      </c>
      <c r="J48" s="147">
        <f t="shared" si="7"/>
        <v>-3153.1555370188835</v>
      </c>
      <c r="K48" s="147">
        <f t="shared" si="7"/>
        <v>-5655.58999121545</v>
      </c>
      <c r="L48" s="147">
        <f t="shared" si="7"/>
        <v>-12198.000485001168</v>
      </c>
      <c r="M48" s="147">
        <f t="shared" si="7"/>
        <v>-12821.822776894944</v>
      </c>
      <c r="N48" s="147">
        <f t="shared" si="7"/>
        <v>-13402.330293209614</v>
      </c>
      <c r="O48" s="147">
        <f t="shared" si="7"/>
        <v>-13946.407576761758</v>
      </c>
      <c r="P48" s="147">
        <f t="shared" si="7"/>
        <v>-14459.099710131504</v>
      </c>
    </row>
    <row r="49" spans="1:18" ht="15.6" thickTop="1" x14ac:dyDescent="0.25">
      <c r="A49" s="57"/>
      <c r="B49" s="57"/>
      <c r="C49" s="57"/>
      <c r="D49" s="57"/>
      <c r="E49" s="57"/>
      <c r="F49" s="57"/>
      <c r="G49" s="111"/>
    </row>
    <row r="50" spans="1:18" ht="15" x14ac:dyDescent="0.25">
      <c r="A50" s="57"/>
      <c r="B50" s="60" t="s">
        <v>17</v>
      </c>
      <c r="C50" s="57"/>
      <c r="D50" s="57"/>
      <c r="E50" s="57"/>
      <c r="F50" s="57"/>
      <c r="G50" s="66">
        <f>G48/52</f>
        <v>-9.9681538461538644</v>
      </c>
      <c r="H50" s="66">
        <f t="shared" ref="H50:P50" si="8">H48/52</f>
        <v>-6.631800000000112</v>
      </c>
      <c r="I50" s="66">
        <f t="shared" si="8"/>
        <v>-14.017408547584674</v>
      </c>
      <c r="J50" s="66">
        <f t="shared" si="8"/>
        <v>-60.637606481132373</v>
      </c>
      <c r="K50" s="66">
        <f t="shared" si="8"/>
        <v>-108.7613459849125</v>
      </c>
      <c r="L50" s="66">
        <f t="shared" si="8"/>
        <v>-234.57693240386862</v>
      </c>
      <c r="M50" s="66">
        <f t="shared" si="8"/>
        <v>-246.57351494028737</v>
      </c>
      <c r="N50" s="66">
        <f t="shared" si="8"/>
        <v>-257.73712102326181</v>
      </c>
      <c r="O50" s="66">
        <f t="shared" si="8"/>
        <v>-268.2001457069569</v>
      </c>
      <c r="P50" s="66">
        <f t="shared" si="8"/>
        <v>-278.05960981022122</v>
      </c>
    </row>
    <row r="51" spans="1:18" ht="15" x14ac:dyDescent="0.25">
      <c r="A51" s="57"/>
      <c r="B51" s="57"/>
      <c r="C51" s="57"/>
      <c r="D51" s="57"/>
      <c r="E51" s="57"/>
      <c r="F51" s="57"/>
      <c r="G51" s="63"/>
    </row>
    <row r="52" spans="1:18" ht="15" x14ac:dyDescent="0.25">
      <c r="A52" s="57"/>
      <c r="B52" s="57"/>
      <c r="C52" s="57"/>
      <c r="D52" s="57"/>
      <c r="E52" s="57"/>
      <c r="F52" s="57"/>
      <c r="G52" s="62"/>
    </row>
    <row r="53" spans="1:18" ht="15" x14ac:dyDescent="0.25">
      <c r="A53" s="57"/>
      <c r="B53" s="57" t="s">
        <v>50</v>
      </c>
      <c r="C53" s="57"/>
      <c r="D53" s="57"/>
      <c r="E53" s="57"/>
      <c r="F53" s="57"/>
      <c r="G53" s="111">
        <f>G6-G10</f>
        <v>-1160</v>
      </c>
      <c r="H53" s="111">
        <f t="shared" ref="H53:P53" si="9">H6-H10</f>
        <v>-1160</v>
      </c>
      <c r="I53" s="111">
        <f t="shared" si="9"/>
        <v>-1160</v>
      </c>
      <c r="J53" s="111">
        <f t="shared" si="9"/>
        <v>18339.999999999884</v>
      </c>
      <c r="K53" s="111">
        <f t="shared" si="9"/>
        <v>58314.999999999884</v>
      </c>
      <c r="L53" s="111">
        <f t="shared" si="9"/>
        <v>117078.24999999988</v>
      </c>
      <c r="M53" s="111">
        <f t="shared" si="9"/>
        <v>197919.69249999989</v>
      </c>
      <c r="N53" s="111">
        <f t="shared" si="9"/>
        <v>305618.45867499989</v>
      </c>
      <c r="O53" s="111">
        <f t="shared" si="9"/>
        <v>468635.22747624968</v>
      </c>
      <c r="P53" s="111">
        <f t="shared" si="9"/>
        <v>593614.75022387481</v>
      </c>
      <c r="R53" s="95">
        <f>P53-R8</f>
        <v>593614.75022387481</v>
      </c>
    </row>
    <row r="54" spans="1:18" ht="15" x14ac:dyDescent="0.25">
      <c r="A54" s="57"/>
      <c r="B54" s="57" t="s">
        <v>51</v>
      </c>
      <c r="C54" s="72"/>
      <c r="D54" s="72"/>
      <c r="E54" s="72"/>
      <c r="F54" s="57"/>
      <c r="G54" s="111">
        <f>G48</f>
        <v>-518.34400000000096</v>
      </c>
      <c r="H54" s="111">
        <f>G54+H48</f>
        <v>-863.19760000000679</v>
      </c>
      <c r="I54" s="111">
        <f t="shared" ref="I54:P54" si="10">H54+I48</f>
        <v>-1592.1028444744097</v>
      </c>
      <c r="J54" s="111">
        <f t="shared" si="10"/>
        <v>-4745.2583814932932</v>
      </c>
      <c r="K54" s="111">
        <f t="shared" si="10"/>
        <v>-10400.848372708744</v>
      </c>
      <c r="L54" s="111">
        <f t="shared" si="10"/>
        <v>-22598.848857709912</v>
      </c>
      <c r="M54" s="111">
        <f t="shared" si="10"/>
        <v>-35420.671634604856</v>
      </c>
      <c r="N54" s="111">
        <f t="shared" si="10"/>
        <v>-48823.001927814468</v>
      </c>
      <c r="O54" s="111">
        <f t="shared" si="10"/>
        <v>-62769.409504576222</v>
      </c>
      <c r="P54" s="111">
        <f t="shared" si="10"/>
        <v>-77228.509214707723</v>
      </c>
    </row>
    <row r="55" spans="1:18" ht="14.25" customHeight="1" x14ac:dyDescent="0.25">
      <c r="A55" s="57"/>
      <c r="B55" s="57"/>
      <c r="C55" s="57"/>
      <c r="D55" s="57"/>
      <c r="E55" s="57"/>
      <c r="F55" s="57"/>
      <c r="G55" s="63"/>
    </row>
    <row r="56" spans="1:18" ht="15" hidden="1" x14ac:dyDescent="0.25">
      <c r="A56" s="57"/>
      <c r="B56" s="77"/>
      <c r="C56" s="77"/>
      <c r="D56" s="77"/>
      <c r="E56" s="77"/>
      <c r="F56" s="77"/>
      <c r="G56" s="78"/>
    </row>
    <row r="57" spans="1:18" hidden="1" x14ac:dyDescent="0.25">
      <c r="B57" s="79"/>
      <c r="C57" s="79"/>
      <c r="D57" s="79"/>
      <c r="E57" s="79"/>
      <c r="F57" s="79"/>
      <c r="G57" s="79"/>
    </row>
    <row r="58" spans="1:18" hidden="1" x14ac:dyDescent="0.25">
      <c r="A58" s="56"/>
      <c r="B58" s="80"/>
      <c r="C58" s="81"/>
      <c r="D58" s="80"/>
      <c r="E58" s="80"/>
      <c r="F58" s="80"/>
      <c r="G58" s="80"/>
    </row>
    <row r="59" spans="1:18" hidden="1" x14ac:dyDescent="0.25">
      <c r="A59" s="56"/>
      <c r="B59" s="56"/>
      <c r="C59" s="56"/>
      <c r="D59" s="56"/>
      <c r="E59" s="56"/>
      <c r="F59" s="56"/>
      <c r="G59" s="56"/>
    </row>
    <row r="60" spans="1:18" ht="29.4" x14ac:dyDescent="0.45">
      <c r="A60" s="56"/>
      <c r="B60" s="191"/>
      <c r="C60" s="191"/>
      <c r="D60" s="191"/>
      <c r="E60" s="191"/>
      <c r="F60" s="191"/>
      <c r="G60" s="191"/>
    </row>
    <row r="61" spans="1:18" ht="29.4" x14ac:dyDescent="0.45">
      <c r="A61" s="56"/>
      <c r="B61" s="148" t="s">
        <v>53</v>
      </c>
      <c r="C61" s="179"/>
      <c r="D61" s="179"/>
      <c r="E61" s="179"/>
      <c r="F61" s="179"/>
      <c r="G61" s="179"/>
    </row>
    <row r="62" spans="1:18" ht="29.4" x14ac:dyDescent="0.45">
      <c r="A62" s="56"/>
      <c r="B62" s="179"/>
      <c r="C62" s="179"/>
      <c r="D62" s="179"/>
      <c r="E62" s="179"/>
      <c r="F62" s="179"/>
      <c r="G62" s="179"/>
    </row>
    <row r="63" spans="1:18" ht="15" x14ac:dyDescent="0.25">
      <c r="A63" s="56"/>
      <c r="B63" s="149" t="s">
        <v>54</v>
      </c>
      <c r="C63" s="150"/>
      <c r="D63" s="150"/>
      <c r="E63" s="150"/>
      <c r="F63" s="150"/>
      <c r="G63" s="150"/>
    </row>
    <row r="64" spans="1:18" ht="15" x14ac:dyDescent="0.25">
      <c r="A64" s="56"/>
      <c r="B64" s="151"/>
      <c r="C64" s="151"/>
      <c r="D64" s="151"/>
      <c r="E64" s="151"/>
      <c r="F64" s="151"/>
      <c r="G64" s="151"/>
    </row>
    <row r="65" spans="1:7" ht="15" x14ac:dyDescent="0.25">
      <c r="A65" s="56"/>
      <c r="B65" s="57" t="s">
        <v>55</v>
      </c>
      <c r="C65" s="151"/>
      <c r="D65" s="151"/>
      <c r="E65" s="151"/>
      <c r="F65" s="151"/>
      <c r="G65" s="151"/>
    </row>
    <row r="66" spans="1:7" ht="15" x14ac:dyDescent="0.25">
      <c r="A66" s="57"/>
      <c r="B66" s="57"/>
      <c r="C66" s="57"/>
      <c r="D66" s="57"/>
      <c r="E66" s="57"/>
      <c r="F66" s="57"/>
      <c r="G66" s="57"/>
    </row>
    <row r="67" spans="1:7" ht="15" x14ac:dyDescent="0.25">
      <c r="A67" s="57"/>
      <c r="B67" s="57" t="s">
        <v>56</v>
      </c>
      <c r="C67" s="57"/>
      <c r="D67" s="57"/>
      <c r="E67" s="57"/>
      <c r="F67" s="57"/>
      <c r="G67" s="57"/>
    </row>
    <row r="68" spans="1:7" ht="15" x14ac:dyDescent="0.25">
      <c r="A68" s="57"/>
      <c r="B68" s="60"/>
      <c r="C68" s="57"/>
      <c r="D68" s="57"/>
      <c r="E68" s="57"/>
      <c r="F68" s="57"/>
      <c r="G68" s="57"/>
    </row>
    <row r="69" spans="1:7" ht="15" x14ac:dyDescent="0.25">
      <c r="A69" s="57"/>
      <c r="B69" s="57" t="s">
        <v>57</v>
      </c>
      <c r="C69" s="57"/>
      <c r="D69" s="57"/>
      <c r="E69" s="57"/>
      <c r="F69" s="57"/>
      <c r="G69" s="57"/>
    </row>
    <row r="70" spans="1:7" ht="15" x14ac:dyDescent="0.25">
      <c r="A70" s="57"/>
      <c r="B70" s="57"/>
      <c r="C70" s="57"/>
      <c r="D70" s="57"/>
      <c r="E70" s="57"/>
      <c r="F70" s="57"/>
      <c r="G70" s="57"/>
    </row>
    <row r="71" spans="1:7" ht="15" x14ac:dyDescent="0.25">
      <c r="A71" s="57"/>
      <c r="B71" s="57" t="s">
        <v>58</v>
      </c>
      <c r="C71" s="57"/>
      <c r="D71" s="57"/>
      <c r="E71" s="57"/>
      <c r="F71" s="57"/>
      <c r="G71" s="57"/>
    </row>
    <row r="72" spans="1:7" ht="15" x14ac:dyDescent="0.25">
      <c r="A72" s="57"/>
      <c r="B72" s="57"/>
      <c r="C72" s="57"/>
      <c r="D72" s="57"/>
      <c r="E72" s="57"/>
      <c r="F72" s="57"/>
      <c r="G72" s="57"/>
    </row>
    <row r="73" spans="1:7" ht="15" x14ac:dyDescent="0.25">
      <c r="A73" s="57"/>
      <c r="B73" s="57" t="s">
        <v>60</v>
      </c>
      <c r="C73" s="57"/>
      <c r="D73" s="57"/>
      <c r="E73" s="57"/>
      <c r="F73" s="57"/>
      <c r="G73" s="57" t="s">
        <v>88</v>
      </c>
    </row>
    <row r="74" spans="1:7" ht="15" x14ac:dyDescent="0.25">
      <c r="A74" s="57"/>
      <c r="B74" s="57"/>
      <c r="C74" s="57"/>
      <c r="D74" s="57"/>
      <c r="E74" s="57"/>
      <c r="F74" s="57"/>
      <c r="G74" s="57"/>
    </row>
    <row r="75" spans="1:7" ht="15" x14ac:dyDescent="0.25">
      <c r="A75" s="57"/>
      <c r="B75" s="57"/>
      <c r="C75" s="57"/>
      <c r="D75" s="57"/>
      <c r="E75" s="57"/>
      <c r="F75" s="57"/>
      <c r="G75" s="57"/>
    </row>
    <row r="76" spans="1:7" ht="15" x14ac:dyDescent="0.25">
      <c r="A76" s="57"/>
      <c r="B76" s="57"/>
      <c r="C76" s="57"/>
      <c r="D76" s="57"/>
      <c r="E76" s="57"/>
      <c r="F76" s="57"/>
      <c r="G76" s="57"/>
    </row>
    <row r="77" spans="1:7" ht="15" x14ac:dyDescent="0.25">
      <c r="A77" s="57"/>
      <c r="B77" s="57"/>
      <c r="C77" s="57"/>
      <c r="D77" s="57"/>
      <c r="E77" s="57"/>
      <c r="F77" s="57"/>
      <c r="G77" s="57"/>
    </row>
    <row r="78" spans="1:7" ht="15" x14ac:dyDescent="0.25">
      <c r="A78" s="57"/>
      <c r="B78" s="57"/>
      <c r="C78" s="57"/>
      <c r="D78" s="57"/>
      <c r="E78" s="57"/>
      <c r="F78" s="57"/>
      <c r="G78" s="57"/>
    </row>
    <row r="79" spans="1:7" ht="15" x14ac:dyDescent="0.25">
      <c r="A79" s="57"/>
      <c r="B79" s="57"/>
      <c r="C79" s="57"/>
      <c r="D79" s="57"/>
      <c r="E79" s="57"/>
      <c r="F79" s="57"/>
      <c r="G79" s="57"/>
    </row>
    <row r="80" spans="1:7" ht="15" x14ac:dyDescent="0.25">
      <c r="A80" s="57"/>
      <c r="B80" s="57"/>
      <c r="C80" s="57"/>
      <c r="D80" s="57"/>
      <c r="E80" s="57"/>
      <c r="F80" s="57"/>
      <c r="G80" s="57"/>
    </row>
    <row r="81" spans="1:7" ht="15" x14ac:dyDescent="0.25">
      <c r="A81" s="57"/>
      <c r="B81" s="57"/>
      <c r="C81" s="57"/>
      <c r="D81" s="57"/>
      <c r="E81" s="57"/>
      <c r="F81" s="57"/>
      <c r="G81" s="57"/>
    </row>
    <row r="82" spans="1:7" ht="15" x14ac:dyDescent="0.25">
      <c r="A82" s="57"/>
      <c r="B82" s="57"/>
      <c r="C82" s="57"/>
      <c r="D82" s="57"/>
      <c r="E82" s="57"/>
      <c r="F82" s="57"/>
      <c r="G82" s="57"/>
    </row>
    <row r="83" spans="1:7" ht="15" x14ac:dyDescent="0.25">
      <c r="A83" s="57"/>
      <c r="B83" s="57"/>
      <c r="C83" s="57"/>
      <c r="D83" s="57"/>
      <c r="E83" s="57"/>
      <c r="F83" s="57"/>
      <c r="G83" s="57"/>
    </row>
    <row r="84" spans="1:7" ht="15" x14ac:dyDescent="0.25">
      <c r="A84" s="57"/>
      <c r="B84" s="57"/>
      <c r="C84" s="57"/>
      <c r="D84" s="57"/>
      <c r="E84" s="57"/>
      <c r="F84" s="57"/>
      <c r="G84" s="57"/>
    </row>
    <row r="85" spans="1:7" ht="15" x14ac:dyDescent="0.25">
      <c r="A85" s="57"/>
      <c r="B85" s="57"/>
      <c r="C85" s="57"/>
      <c r="D85" s="57"/>
      <c r="E85" s="57"/>
      <c r="F85" s="57"/>
      <c r="G85" s="57"/>
    </row>
    <row r="86" spans="1:7" ht="15" x14ac:dyDescent="0.25">
      <c r="A86" s="57"/>
      <c r="B86" s="57"/>
      <c r="C86" s="57"/>
      <c r="D86" s="57"/>
      <c r="E86" s="57"/>
      <c r="F86" s="57"/>
      <c r="G86" s="57"/>
    </row>
    <row r="87" spans="1:7" ht="15" x14ac:dyDescent="0.25">
      <c r="A87" s="57"/>
      <c r="B87" s="57"/>
      <c r="C87" s="57"/>
      <c r="D87" s="57"/>
      <c r="E87" s="57"/>
      <c r="F87" s="57"/>
      <c r="G87" s="57"/>
    </row>
    <row r="88" spans="1:7" ht="15" x14ac:dyDescent="0.25">
      <c r="A88" s="57"/>
      <c r="B88" s="57"/>
      <c r="C88" s="57"/>
      <c r="D88" s="57"/>
      <c r="E88" s="57"/>
      <c r="F88" s="57"/>
      <c r="G88" s="57"/>
    </row>
    <row r="89" spans="1:7" ht="15" x14ac:dyDescent="0.25">
      <c r="A89" s="57"/>
      <c r="B89" s="57"/>
      <c r="C89" s="57"/>
      <c r="D89" s="57"/>
      <c r="E89" s="57"/>
      <c r="F89" s="57"/>
      <c r="G89" s="57"/>
    </row>
    <row r="90" spans="1:7" ht="15" x14ac:dyDescent="0.25">
      <c r="A90" s="57"/>
      <c r="B90" s="72"/>
      <c r="C90" s="72"/>
      <c r="D90" s="72"/>
      <c r="E90" s="72"/>
      <c r="F90" s="72"/>
      <c r="G90" s="72"/>
    </row>
    <row r="91" spans="1:7" ht="15" x14ac:dyDescent="0.25">
      <c r="A91" s="57"/>
      <c r="B91" s="72"/>
      <c r="C91" s="72"/>
      <c r="D91" s="72"/>
      <c r="E91" s="72"/>
      <c r="F91" s="72"/>
      <c r="G91" s="72"/>
    </row>
    <row r="92" spans="1:7" ht="15" x14ac:dyDescent="0.25">
      <c r="A92" s="57"/>
      <c r="B92" s="72"/>
      <c r="C92" s="72"/>
      <c r="D92" s="72"/>
      <c r="E92" s="72"/>
      <c r="F92" s="72"/>
      <c r="G92" s="72"/>
    </row>
    <row r="93" spans="1:7" ht="15" x14ac:dyDescent="0.25">
      <c r="A93" s="57"/>
      <c r="B93" s="72"/>
      <c r="C93" s="72"/>
      <c r="D93" s="72"/>
      <c r="E93" s="72"/>
      <c r="F93" s="72"/>
      <c r="G93" s="72"/>
    </row>
    <row r="94" spans="1:7" ht="15" x14ac:dyDescent="0.25">
      <c r="A94" s="57"/>
      <c r="B94" s="82"/>
      <c r="C94" s="82"/>
      <c r="D94" s="82"/>
      <c r="E94" s="82"/>
      <c r="F94" s="82"/>
      <c r="G94" s="82"/>
    </row>
    <row r="95" spans="1:7" ht="15" x14ac:dyDescent="0.25">
      <c r="B95" s="83"/>
      <c r="C95" s="83"/>
      <c r="D95" s="83"/>
      <c r="E95" s="83"/>
      <c r="F95" s="84"/>
      <c r="G95" s="83"/>
    </row>
  </sheetData>
  <sheetProtection algorithmName="SHA-512" hashValue="AtTirm2sL96s1fvpcat9bhu2uZbgeU6IzCqZLjLDg0HEaOZdvU5XBU3EZ9dj4esU0yT5YgHMa9wY2vhlovlxwg==" saltValue="6OTmMLKN5iHmOZtT34ORqQ==" spinCount="100000" sheet="1" selectLockedCells="1"/>
  <mergeCells count="3">
    <mergeCell ref="A1:G1"/>
    <mergeCell ref="E2:H2"/>
    <mergeCell ref="B60:G60"/>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A1EF1-C00F-4590-AE09-505D29137114}">
  <sheetPr codeName="Sheet13">
    <pageSetUpPr fitToPage="1"/>
  </sheetPr>
  <dimension ref="A1:R93"/>
  <sheetViews>
    <sheetView zoomScaleNormal="100" workbookViewId="0">
      <pane xSplit="7" ySplit="18" topLeftCell="H19" activePane="bottomRight" state="frozen"/>
      <selection pane="topRight" activeCell="H1" sqref="H1"/>
      <selection pane="bottomLeft" activeCell="A19" sqref="A19"/>
      <selection pane="bottomRight" activeCell="H8" sqref="H8"/>
    </sheetView>
  </sheetViews>
  <sheetFormatPr defaultColWidth="9.109375" defaultRowHeight="13.2" x14ac:dyDescent="0.25"/>
  <cols>
    <col min="1" max="1" width="3.5546875" style="54" customWidth="1"/>
    <col min="2" max="2" width="20" style="54" customWidth="1"/>
    <col min="3" max="3" width="12.88671875" style="54" customWidth="1"/>
    <col min="4" max="4" width="13" style="54" bestFit="1" customWidth="1"/>
    <col min="5" max="5" width="13.33203125" style="54" customWidth="1"/>
    <col min="6" max="6" width="6.109375" style="54" customWidth="1"/>
    <col min="7" max="7" width="16" style="54" bestFit="1" customWidth="1"/>
    <col min="8" max="8" width="11.88671875" style="54" customWidth="1"/>
    <col min="9" max="10" width="11.6640625" style="54" customWidth="1"/>
    <col min="11" max="11" width="11.44140625" style="54" customWidth="1"/>
    <col min="12" max="12" width="11.88671875" style="54" customWidth="1"/>
    <col min="13" max="13" width="12.44140625" style="54" customWidth="1"/>
    <col min="14" max="14" width="12" style="54" customWidth="1"/>
    <col min="15" max="16" width="11.6640625" style="54" customWidth="1"/>
    <col min="17" max="16384" width="9.109375" style="54"/>
  </cols>
  <sheetData>
    <row r="1" spans="1:18" ht="55.5" customHeight="1" x14ac:dyDescent="0.25">
      <c r="A1" s="190"/>
      <c r="B1" s="190"/>
      <c r="C1" s="190"/>
      <c r="D1" s="190"/>
      <c r="E1" s="190"/>
      <c r="F1" s="190"/>
      <c r="G1" s="190"/>
      <c r="H1" s="56"/>
    </row>
    <row r="2" spans="1:18" ht="22.8" x14ac:dyDescent="0.4">
      <c r="A2" s="152"/>
      <c r="B2" s="153" t="s">
        <v>24</v>
      </c>
      <c r="C2" s="152"/>
      <c r="D2" s="152"/>
      <c r="E2" s="196"/>
      <c r="F2" s="197"/>
      <c r="G2" s="197"/>
      <c r="H2" s="197"/>
      <c r="K2" s="154">
        <v>5</v>
      </c>
      <c r="P2" s="154">
        <v>10</v>
      </c>
      <c r="Q2" s="56"/>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56"/>
      <c r="B4" s="56"/>
      <c r="C4" s="56"/>
      <c r="D4" s="56"/>
      <c r="E4" s="56"/>
      <c r="F4" s="56"/>
      <c r="G4" s="56"/>
    </row>
    <row r="5" spans="1:18" ht="1.5" customHeight="1" x14ac:dyDescent="0.25">
      <c r="A5" s="56"/>
      <c r="B5" s="57"/>
      <c r="C5" s="56"/>
      <c r="D5" s="58"/>
      <c r="E5" s="56"/>
      <c r="F5" s="56"/>
      <c r="G5" s="56"/>
    </row>
    <row r="6" spans="1:18" ht="15" x14ac:dyDescent="0.25">
      <c r="A6" s="57"/>
      <c r="B6" s="57" t="s">
        <v>21</v>
      </c>
      <c r="C6" s="57"/>
      <c r="D6" s="130"/>
      <c r="E6" s="131"/>
      <c r="F6" s="57"/>
      <c r="G6" s="132">
        <f>'p3 one year'!D6*(1+'Data to enter'!F4)</f>
        <v>366000</v>
      </c>
      <c r="H6" s="132">
        <f>G6*(1+'Data to enter'!G4)</f>
        <v>366000</v>
      </c>
      <c r="I6" s="132">
        <f>H6*(1+'Data to enter'!H4)</f>
        <v>366000</v>
      </c>
      <c r="J6" s="132">
        <f>I6*(1+'Data to enter'!I4)</f>
        <v>375149.99999999994</v>
      </c>
      <c r="K6" s="132">
        <f>J6*(1+'Data to enter'!J4)</f>
        <v>393907.49999999994</v>
      </c>
      <c r="L6" s="132">
        <f>K6*(1+'Data to enter'!K4)</f>
        <v>421481.02499999997</v>
      </c>
      <c r="M6" s="132">
        <f>L6*(1+'Data to enter'!L4)</f>
        <v>459414.31725000002</v>
      </c>
      <c r="N6" s="132">
        <f>M6*(1+'Data to enter'!M4)</f>
        <v>509949.89214750007</v>
      </c>
      <c r="O6" s="132">
        <f>N6*(1+'Data to enter'!N4)</f>
        <v>586442.37596962508</v>
      </c>
      <c r="P6" s="132">
        <f>O6*(1+'Data to enter'!O4)</f>
        <v>645086.61356658768</v>
      </c>
    </row>
    <row r="7" spans="1:18" ht="15" x14ac:dyDescent="0.25">
      <c r="A7" s="57"/>
      <c r="B7" s="57"/>
      <c r="C7" s="57"/>
      <c r="D7" s="131"/>
      <c r="E7" s="130"/>
      <c r="F7" s="57"/>
      <c r="G7" s="111"/>
      <c r="H7" s="95"/>
      <c r="I7" s="95"/>
      <c r="J7" s="95"/>
      <c r="K7" s="95"/>
      <c r="L7" s="95"/>
      <c r="M7" s="95"/>
      <c r="N7" s="95"/>
      <c r="O7" s="95"/>
      <c r="P7" s="95"/>
    </row>
    <row r="8" spans="1:18" ht="15" x14ac:dyDescent="0.25">
      <c r="A8" s="57"/>
      <c r="B8" s="57" t="s">
        <v>59</v>
      </c>
      <c r="C8" s="57"/>
      <c r="D8" s="131"/>
      <c r="E8" s="130"/>
      <c r="F8" s="57"/>
      <c r="G8" s="133">
        <f>'p3 one year'!E10</f>
        <v>0</v>
      </c>
      <c r="H8" s="116"/>
      <c r="I8" s="116"/>
      <c r="J8" s="116"/>
      <c r="K8" s="116"/>
      <c r="L8" s="116"/>
      <c r="M8" s="116"/>
      <c r="N8" s="116"/>
      <c r="O8" s="116"/>
      <c r="P8" s="116"/>
      <c r="Q8" s="155"/>
      <c r="R8" s="155">
        <f>SUM(G8:P8)</f>
        <v>0</v>
      </c>
    </row>
    <row r="9" spans="1:18" ht="15" x14ac:dyDescent="0.25">
      <c r="A9" s="57"/>
      <c r="B9" s="57"/>
      <c r="C9" s="57"/>
      <c r="D9" s="131"/>
      <c r="E9" s="131"/>
      <c r="F9" s="57"/>
      <c r="G9" s="111"/>
      <c r="H9" s="95"/>
      <c r="I9" s="95"/>
      <c r="J9" s="95"/>
      <c r="K9" s="95"/>
      <c r="L9" s="95"/>
      <c r="M9" s="95"/>
      <c r="N9" s="95"/>
      <c r="O9" s="95"/>
      <c r="P9" s="95"/>
    </row>
    <row r="10" spans="1:18" ht="15" x14ac:dyDescent="0.25">
      <c r="A10" s="57"/>
      <c r="B10" s="60" t="s">
        <v>9</v>
      </c>
      <c r="C10" s="57"/>
      <c r="D10" s="131"/>
      <c r="E10" s="130"/>
      <c r="F10" s="57"/>
      <c r="G10" s="111">
        <f>'p3 one year'!E12</f>
        <v>367160</v>
      </c>
      <c r="H10" s="111">
        <f>G10-H8</f>
        <v>367160</v>
      </c>
      <c r="I10" s="111">
        <f t="shared" ref="I10:P10" si="0">H10-I8</f>
        <v>367160</v>
      </c>
      <c r="J10" s="111">
        <f t="shared" si="0"/>
        <v>367160</v>
      </c>
      <c r="K10" s="111">
        <f t="shared" si="0"/>
        <v>367160</v>
      </c>
      <c r="L10" s="111">
        <f t="shared" si="0"/>
        <v>367160</v>
      </c>
      <c r="M10" s="111">
        <f t="shared" si="0"/>
        <v>367160</v>
      </c>
      <c r="N10" s="111">
        <f t="shared" si="0"/>
        <v>367160</v>
      </c>
      <c r="O10" s="111">
        <f t="shared" si="0"/>
        <v>367160</v>
      </c>
      <c r="P10" s="111">
        <f t="shared" si="0"/>
        <v>367160</v>
      </c>
    </row>
    <row r="11" spans="1:18" ht="8.25" customHeight="1" x14ac:dyDescent="0.25">
      <c r="A11" s="57"/>
      <c r="B11" s="57"/>
      <c r="C11" s="57"/>
      <c r="D11" s="58"/>
      <c r="E11" s="58"/>
      <c r="F11" s="57"/>
      <c r="G11" s="111"/>
      <c r="H11" s="95"/>
      <c r="I11" s="95"/>
      <c r="J11" s="95"/>
      <c r="K11" s="95"/>
      <c r="L11" s="95"/>
      <c r="M11" s="95"/>
      <c r="N11" s="95"/>
      <c r="O11" s="95"/>
      <c r="P11" s="95"/>
    </row>
    <row r="12" spans="1:18" ht="17.399999999999999" x14ac:dyDescent="0.3">
      <c r="A12" s="57"/>
      <c r="B12" s="61" t="s">
        <v>0</v>
      </c>
      <c r="C12" s="57"/>
      <c r="D12" s="57"/>
      <c r="E12" s="57"/>
      <c r="F12" s="57"/>
      <c r="G12" s="111"/>
      <c r="H12" s="95"/>
      <c r="I12" s="95"/>
      <c r="J12" s="95"/>
      <c r="K12" s="95"/>
      <c r="L12" s="95"/>
      <c r="M12" s="95"/>
      <c r="N12" s="95"/>
      <c r="O12" s="95"/>
      <c r="P12" s="95"/>
    </row>
    <row r="13" spans="1:18" ht="8.25" customHeight="1" x14ac:dyDescent="0.25">
      <c r="A13" s="57"/>
      <c r="B13" s="57"/>
      <c r="C13" s="57"/>
      <c r="D13" s="57"/>
      <c r="E13" s="57"/>
      <c r="F13" s="57"/>
      <c r="G13" s="111"/>
      <c r="H13" s="95"/>
      <c r="I13" s="95"/>
      <c r="J13" s="95"/>
      <c r="K13" s="95"/>
      <c r="L13" s="95"/>
      <c r="M13" s="95"/>
      <c r="N13" s="95"/>
      <c r="O13" s="95"/>
      <c r="P13" s="95"/>
    </row>
    <row r="14" spans="1:18" ht="15" x14ac:dyDescent="0.25">
      <c r="A14" s="57"/>
      <c r="B14" s="57" t="s">
        <v>27</v>
      </c>
      <c r="C14" s="57" t="s">
        <v>25</v>
      </c>
      <c r="D14" s="68">
        <f>'p3 one year'!D16</f>
        <v>52</v>
      </c>
      <c r="E14" s="57"/>
      <c r="F14" s="57"/>
      <c r="G14" s="111">
        <f>D14*D15</f>
        <v>24440</v>
      </c>
      <c r="H14" s="132">
        <f>G14*(1+'Data to enter'!F6)</f>
        <v>25173.200000000001</v>
      </c>
      <c r="I14" s="132">
        <f>H14*(1+'Data to enter'!G6)</f>
        <v>25928.396000000001</v>
      </c>
      <c r="J14" s="132">
        <f>I14*(1+'Data to enter'!H6)</f>
        <v>26706.247880000003</v>
      </c>
      <c r="K14" s="132">
        <f>J14*(1+'Data to enter'!I6)</f>
        <v>27507.435316400002</v>
      </c>
      <c r="L14" s="132">
        <f>K14*(1+'Data to enter'!J6)</f>
        <v>28332.658375892002</v>
      </c>
      <c r="M14" s="132">
        <f>L14*(1+'Data to enter'!K6)</f>
        <v>29182.638127168764</v>
      </c>
      <c r="N14" s="132">
        <f>M14*(1+'Data to enter'!L6)</f>
        <v>30058.117270983828</v>
      </c>
      <c r="O14" s="132">
        <f>N14*(1+'Data to enter'!M6)</f>
        <v>30959.860789113343</v>
      </c>
      <c r="P14" s="132">
        <f>O14*(1+'Data to enter'!N6)</f>
        <v>31888.656612786745</v>
      </c>
    </row>
    <row r="15" spans="1:18" ht="15" x14ac:dyDescent="0.25">
      <c r="A15" s="57"/>
      <c r="B15" s="57"/>
      <c r="C15" s="57" t="s">
        <v>26</v>
      </c>
      <c r="D15" s="135">
        <f>'p3 one year'!D17</f>
        <v>470</v>
      </c>
      <c r="E15" s="57"/>
      <c r="F15" s="57"/>
      <c r="G15" s="57"/>
    </row>
    <row r="16" spans="1:18" ht="15" x14ac:dyDescent="0.25">
      <c r="A16" s="57"/>
      <c r="B16" s="57"/>
      <c r="C16" s="57"/>
      <c r="D16" s="57" t="s">
        <v>11</v>
      </c>
      <c r="E16" s="57"/>
      <c r="F16" s="57"/>
      <c r="G16" s="62">
        <f>G14/G6</f>
        <v>6.6775956284153004E-2</v>
      </c>
    </row>
    <row r="17" spans="1:18" ht="6.75" customHeight="1" x14ac:dyDescent="0.25">
      <c r="A17" s="57"/>
      <c r="B17" s="57"/>
      <c r="C17" s="57"/>
      <c r="D17" s="57"/>
      <c r="E17" s="57"/>
      <c r="F17" s="57"/>
      <c r="G17" s="57"/>
    </row>
    <row r="18" spans="1:18" ht="24" customHeight="1" x14ac:dyDescent="0.3">
      <c r="A18" s="57"/>
      <c r="B18" s="64" t="s">
        <v>1</v>
      </c>
      <c r="C18" s="65"/>
      <c r="D18" s="57"/>
      <c r="E18" s="57"/>
      <c r="F18" s="57"/>
      <c r="G18" s="57"/>
    </row>
    <row r="19" spans="1:18" ht="15" x14ac:dyDescent="0.25">
      <c r="A19" s="57"/>
      <c r="B19" s="57"/>
      <c r="C19" s="57"/>
      <c r="D19" s="57"/>
      <c r="E19" s="57"/>
      <c r="F19" s="57"/>
      <c r="G19" s="57"/>
    </row>
    <row r="20" spans="1:18" ht="15" x14ac:dyDescent="0.25">
      <c r="A20" s="57"/>
      <c r="B20" s="57" t="s">
        <v>7</v>
      </c>
      <c r="C20" s="57"/>
      <c r="D20" s="57"/>
      <c r="E20" s="136"/>
      <c r="F20" s="136"/>
      <c r="G20" s="137">
        <f>'p3 one year'!G22</f>
        <v>1700</v>
      </c>
      <c r="H20" s="132">
        <f>G20*(1+'Data to enter'!F8)</f>
        <v>1751</v>
      </c>
      <c r="I20" s="132">
        <f>H20*(1+'Data to enter'!G8)</f>
        <v>1803.53</v>
      </c>
      <c r="J20" s="132">
        <f>I20*(1+'Data to enter'!H8)</f>
        <v>1857.6359</v>
      </c>
      <c r="K20" s="132">
        <f>J20*(1+'Data to enter'!I8)</f>
        <v>1913.364977</v>
      </c>
      <c r="L20" s="132">
        <f>K20*(1+'Data to enter'!J8)</f>
        <v>1970.7659263099999</v>
      </c>
      <c r="M20" s="132">
        <f>L20*(1+'Data to enter'!K8)</f>
        <v>2029.8889040992999</v>
      </c>
      <c r="N20" s="132">
        <f>M20*(1+'Data to enter'!L8)</f>
        <v>2090.785571222279</v>
      </c>
      <c r="O20" s="132">
        <f>N20*(1+'Data to enter'!M8)</f>
        <v>2153.5091383589474</v>
      </c>
      <c r="P20" s="132">
        <f>O20*(1+'Data to enter'!N8)</f>
        <v>2218.1144125097157</v>
      </c>
    </row>
    <row r="21" spans="1:18" ht="15" x14ac:dyDescent="0.25">
      <c r="A21" s="57"/>
      <c r="B21" s="57" t="s">
        <v>8</v>
      </c>
      <c r="C21" s="57"/>
      <c r="D21" s="57"/>
      <c r="E21" s="136"/>
      <c r="F21" s="136"/>
      <c r="G21" s="137">
        <f>'p3 one year'!G23</f>
        <v>50</v>
      </c>
      <c r="H21" s="132">
        <f>G21*(1+'Data to enter'!F8)</f>
        <v>51.5</v>
      </c>
      <c r="I21" s="132">
        <f>H21*(1+'Data to enter'!G8)</f>
        <v>53.045000000000002</v>
      </c>
      <c r="J21" s="132">
        <f>I21*(1+'Data to enter'!H8)</f>
        <v>54.63635</v>
      </c>
      <c r="K21" s="132">
        <f>J21*(1+'Data to enter'!I8)</f>
        <v>56.275440500000002</v>
      </c>
      <c r="L21" s="132">
        <f>K21*(1+'Data to enter'!J8)</f>
        <v>57.963703715000001</v>
      </c>
      <c r="M21" s="132">
        <f>L21*(1+'Data to enter'!K8)</f>
        <v>59.702614826450002</v>
      </c>
      <c r="N21" s="132">
        <f>M21*(1+'Data to enter'!L8)</f>
        <v>61.493693271243501</v>
      </c>
      <c r="O21" s="132">
        <f>N21*(1+'Data to enter'!M8)</f>
        <v>63.338504069380811</v>
      </c>
      <c r="P21" s="132">
        <f>O21*(1+'Data to enter'!N8)</f>
        <v>65.238659191462233</v>
      </c>
    </row>
    <row r="22" spans="1:18" ht="15" x14ac:dyDescent="0.25">
      <c r="A22" s="57"/>
      <c r="B22" s="57" t="s">
        <v>14</v>
      </c>
      <c r="C22" s="57"/>
      <c r="D22" s="57"/>
      <c r="E22" s="136"/>
      <c r="F22" s="136"/>
      <c r="G22" s="137">
        <f>'p3 one year'!G24</f>
        <v>0</v>
      </c>
      <c r="H22" s="132">
        <f>G22*(1+'Data to enter'!F8)</f>
        <v>0</v>
      </c>
      <c r="I22" s="132">
        <f>H22*(1+'Data to enter'!G8)</f>
        <v>0</v>
      </c>
      <c r="J22" s="132">
        <f>I22*(1+'Data to enter'!H8)</f>
        <v>0</v>
      </c>
      <c r="K22" s="132">
        <f>J22*(1+'Data to enter'!I8)</f>
        <v>0</v>
      </c>
      <c r="L22" s="132">
        <f>K22*(1+'Data to enter'!J8)</f>
        <v>0</v>
      </c>
      <c r="M22" s="132">
        <f>L22*(1+'Data to enter'!K8)</f>
        <v>0</v>
      </c>
      <c r="N22" s="132">
        <f>M22*(1+'Data to enter'!L8)</f>
        <v>0</v>
      </c>
      <c r="O22" s="132">
        <f>N22*(1+'Data to enter'!M8)</f>
        <v>0</v>
      </c>
      <c r="P22" s="132">
        <f>O22*(1+'Data to enter'!N8)</f>
        <v>0</v>
      </c>
    </row>
    <row r="23" spans="1:18" ht="15" x14ac:dyDescent="0.25">
      <c r="A23" s="57"/>
      <c r="B23" s="57" t="s">
        <v>2</v>
      </c>
      <c r="C23" s="57"/>
      <c r="D23" s="57"/>
      <c r="E23" s="136"/>
      <c r="F23" s="136"/>
      <c r="G23" s="137">
        <f>'p3 one year'!G25</f>
        <v>1000</v>
      </c>
      <c r="H23" s="132">
        <f>G23*(1+'Data to enter'!F8)</f>
        <v>1030</v>
      </c>
      <c r="I23" s="132">
        <f>H23*(1+'Data to enter'!G8)</f>
        <v>1060.9000000000001</v>
      </c>
      <c r="J23" s="132">
        <f>I23*(1+'Data to enter'!H8)</f>
        <v>1092.7270000000001</v>
      </c>
      <c r="K23" s="132">
        <f>J23*(1+'Data to enter'!I8)</f>
        <v>1125.50881</v>
      </c>
      <c r="L23" s="132">
        <f>K23*(1+'Data to enter'!J8)</f>
        <v>1159.2740743000002</v>
      </c>
      <c r="M23" s="132">
        <f>L23*(1+'Data to enter'!K8)</f>
        <v>1194.0522965290002</v>
      </c>
      <c r="N23" s="132">
        <f>M23*(1+'Data to enter'!L8)</f>
        <v>1229.8738654248702</v>
      </c>
      <c r="O23" s="132">
        <f>N23*(1+'Data to enter'!M8)</f>
        <v>1266.7700813876163</v>
      </c>
      <c r="P23" s="132">
        <f>O23*(1+'Data to enter'!N8)</f>
        <v>1304.7731838292448</v>
      </c>
    </row>
    <row r="24" spans="1:18" ht="15" x14ac:dyDescent="0.25">
      <c r="A24" s="57"/>
      <c r="B24" s="57" t="s">
        <v>28</v>
      </c>
      <c r="C24" s="57"/>
      <c r="D24" s="57" t="s">
        <v>29</v>
      </c>
      <c r="E24" s="138"/>
      <c r="F24" s="136"/>
      <c r="G24" s="111">
        <f>(G10/2*'Data to enter'!F10)+('p3 10 year'!G10/2*'Data to enter'!F11)</f>
        <v>9693.0239999999994</v>
      </c>
      <c r="H24" s="111">
        <f>(H10/2*'Data to enter'!G10)+('p3 10 year'!H10/2*'Data to enter'!G11)</f>
        <v>9894.9619999999995</v>
      </c>
      <c r="I24" s="111">
        <f>(I10/2*'Data to enter'!H10)+('p3 10 year'!I10/2*'Data to enter'!H11)</f>
        <v>10078.541999999999</v>
      </c>
      <c r="J24" s="111">
        <f>(J10/2*'Data to enter'!I10)+('p3 10 year'!J10/2*'Data to enter'!I11)</f>
        <v>10537.491999999998</v>
      </c>
      <c r="K24" s="139">
        <f>(K10/2*'Data to enter'!J10)+('p3 10 year'!K10/2*'Data to enter'!J11)</f>
        <v>10996.441999999999</v>
      </c>
      <c r="L24" s="139">
        <f>(L10/2*'Data to enter'!K10)+('p3 10 year'!L10/2*'Data to enter'!K11)</f>
        <v>13309.55</v>
      </c>
      <c r="M24" s="111">
        <f>(M10/2*'Data to enter'!L10)+('p3 10 year'!M10/2*'Data to enter'!L11)</f>
        <v>13768.5</v>
      </c>
      <c r="N24" s="111">
        <f>(N10/2*'Data to enter'!M10)+('p3 10 year'!N10/2*'Data to enter'!M11)</f>
        <v>14227.45</v>
      </c>
      <c r="O24" s="111">
        <f>(O10/2*'Data to enter'!N10)+('p3 10 year'!O10/2*'Data to enter'!N11)</f>
        <v>14686.4</v>
      </c>
      <c r="P24" s="111">
        <f>(P10/2*'Data to enter'!O10)+('p3 10 year'!P10/2*'Data to enter'!O11)</f>
        <v>15145.35</v>
      </c>
    </row>
    <row r="25" spans="1:18" ht="15" x14ac:dyDescent="0.25">
      <c r="A25" s="57"/>
      <c r="B25" s="57" t="s">
        <v>95</v>
      </c>
      <c r="C25" s="57"/>
      <c r="D25" s="57"/>
      <c r="E25" s="136"/>
      <c r="F25" s="136"/>
      <c r="G25" s="137">
        <f>'p3 one year'!G27</f>
        <v>2593.4799999999996</v>
      </c>
      <c r="H25" s="111">
        <f>G25*(1+'Data to enter'!F8)</f>
        <v>2671.2843999999996</v>
      </c>
      <c r="I25" s="111">
        <f>H25*(1+'Data to enter'!G8)</f>
        <v>2751.4229319999995</v>
      </c>
      <c r="J25" s="111">
        <f>I25*(1+'Data to enter'!H8)</f>
        <v>2833.9656199599995</v>
      </c>
      <c r="K25" s="111">
        <f>J25*(1+'Data to enter'!I8)</f>
        <v>2918.9845885587997</v>
      </c>
      <c r="L25" s="111">
        <f>K25*(1+'Data to enter'!J8)</f>
        <v>3006.5541262155639</v>
      </c>
      <c r="M25" s="111">
        <f>L25*(1+'Data to enter'!K8)</f>
        <v>3096.7507500020311</v>
      </c>
      <c r="N25" s="111">
        <f>M25*(1+'Data to enter'!L8)</f>
        <v>3189.653272502092</v>
      </c>
      <c r="O25" s="111">
        <f>N25*(1+'Data to enter'!M8)</f>
        <v>3285.3428706771547</v>
      </c>
      <c r="P25" s="111">
        <f>O25*(1+'Data to enter'!N8)</f>
        <v>3383.9031567974694</v>
      </c>
    </row>
    <row r="26" spans="1:18" ht="15" x14ac:dyDescent="0.25">
      <c r="A26" s="57"/>
      <c r="B26" s="57" t="s">
        <v>3</v>
      </c>
      <c r="C26" s="57"/>
      <c r="D26" s="57"/>
      <c r="E26" s="136"/>
      <c r="F26" s="136"/>
      <c r="G26" s="137">
        <f>'p3 one year'!G28</f>
        <v>2000</v>
      </c>
      <c r="H26" s="111">
        <f>G26*(1+'Data to enter'!F8)</f>
        <v>2060</v>
      </c>
      <c r="I26" s="111">
        <f>H26*(1+'Data to enter'!G8)</f>
        <v>2121.8000000000002</v>
      </c>
      <c r="J26" s="111">
        <f>I26*(1+'Data to enter'!H8)</f>
        <v>2185.4540000000002</v>
      </c>
      <c r="K26" s="111">
        <f>J26*(1+'Data to enter'!I8)</f>
        <v>2251.0176200000001</v>
      </c>
      <c r="L26" s="111">
        <f>K26*(1+'Data to enter'!J8)</f>
        <v>2318.5481486000003</v>
      </c>
      <c r="M26" s="111">
        <f>L26*(1+'Data to enter'!K8)</f>
        <v>2388.1045930580003</v>
      </c>
      <c r="N26" s="111">
        <f>M26*(1+'Data to enter'!L8)</f>
        <v>2459.7477308497405</v>
      </c>
      <c r="O26" s="111">
        <f>N26*(1+'Data to enter'!M8)</f>
        <v>2533.5401627752326</v>
      </c>
      <c r="P26" s="111">
        <f>O26*(1+'Data to enter'!N8)</f>
        <v>2609.5463676584895</v>
      </c>
    </row>
    <row r="27" spans="1:18" ht="15" x14ac:dyDescent="0.25">
      <c r="A27" s="57"/>
      <c r="B27" s="57" t="s">
        <v>6</v>
      </c>
      <c r="C27" s="57"/>
      <c r="D27" s="57"/>
      <c r="E27" s="136"/>
      <c r="F27" s="136"/>
      <c r="G27" s="137">
        <f>'p3 one year'!G29</f>
        <v>1500</v>
      </c>
      <c r="H27" s="111">
        <f>G27*(1+'Data to enter'!F8)</f>
        <v>1545</v>
      </c>
      <c r="I27" s="111">
        <f>H27*(1+'Data to enter'!G8)</f>
        <v>1591.3500000000001</v>
      </c>
      <c r="J27" s="111">
        <f>I27*(1+'Data to enter'!H8)</f>
        <v>1639.0905000000002</v>
      </c>
      <c r="K27" s="111">
        <f>J27*(1+'Data to enter'!I8)</f>
        <v>1688.2632150000004</v>
      </c>
      <c r="L27" s="111">
        <f>K27*(1+'Data to enter'!J8)</f>
        <v>1738.9111114500004</v>
      </c>
      <c r="M27" s="111">
        <f>L27*(1+'Data to enter'!K8)</f>
        <v>1791.0784447935005</v>
      </c>
      <c r="N27" s="111">
        <f>M27*(1+'Data to enter'!L8)</f>
        <v>1844.8107981373055</v>
      </c>
      <c r="O27" s="111">
        <f>N27*(1+'Data to enter'!M8)</f>
        <v>1900.1551220814247</v>
      </c>
      <c r="P27" s="111">
        <f>O27*(1+'Data to enter'!N8)</f>
        <v>1957.1597757438674</v>
      </c>
    </row>
    <row r="28" spans="1:18" ht="15" x14ac:dyDescent="0.25">
      <c r="A28" s="57"/>
      <c r="B28" s="57" t="s">
        <v>22</v>
      </c>
      <c r="C28" s="57"/>
      <c r="D28" s="57"/>
      <c r="E28" s="136"/>
      <c r="F28" s="136"/>
      <c r="G28" s="137">
        <f>'p3 one year'!G30</f>
        <v>100</v>
      </c>
      <c r="H28" s="111">
        <f>G28*(1+'Data to enter'!F8)</f>
        <v>103</v>
      </c>
      <c r="I28" s="111">
        <f>H28*(1+'Data to enter'!G8)</f>
        <v>106.09</v>
      </c>
      <c r="J28" s="111">
        <f>I28*(1+'Data to enter'!H8)</f>
        <v>109.2727</v>
      </c>
      <c r="K28" s="111">
        <f>J28*(1+'Data to enter'!I8)</f>
        <v>112.550881</v>
      </c>
      <c r="L28" s="111">
        <f>K28*(1+'Data to enter'!J8)</f>
        <v>115.92740743</v>
      </c>
      <c r="M28" s="111">
        <f>L28*(1+'Data to enter'!K8)</f>
        <v>119.4052296529</v>
      </c>
      <c r="N28" s="111">
        <f>M28*(1+'Data to enter'!L8)</f>
        <v>122.987386542487</v>
      </c>
      <c r="O28" s="111">
        <f>N28*(1+'Data to enter'!M8)</f>
        <v>126.67700813876162</v>
      </c>
      <c r="P28" s="111">
        <f>O28*(1+'Data to enter'!N8)</f>
        <v>130.47731838292447</v>
      </c>
    </row>
    <row r="29" spans="1:18" ht="15" x14ac:dyDescent="0.25">
      <c r="A29" s="57"/>
      <c r="B29" s="57" t="s">
        <v>23</v>
      </c>
      <c r="C29" s="57"/>
      <c r="D29" s="57"/>
      <c r="E29" s="136"/>
      <c r="F29" s="136"/>
      <c r="G29" s="137">
        <f>'p3 one year'!G31</f>
        <v>300</v>
      </c>
      <c r="H29" s="111">
        <f>G29*(1+'Data to enter'!F8)</f>
        <v>309</v>
      </c>
      <c r="I29" s="111">
        <f>H29*(1+'Data to enter'!G8)</f>
        <v>318.27</v>
      </c>
      <c r="J29" s="111">
        <f>I29*(1+'Data to enter'!H8)</f>
        <v>327.81810000000002</v>
      </c>
      <c r="K29" s="111">
        <f>J29*(1+'Data to enter'!I8)</f>
        <v>337.65264300000001</v>
      </c>
      <c r="L29" s="111">
        <f>K29*(1+'Data to enter'!J8)</f>
        <v>347.78222228999999</v>
      </c>
      <c r="M29" s="111">
        <f>L29*(1+'Data to enter'!K8)</f>
        <v>358.21568895870001</v>
      </c>
      <c r="N29" s="111">
        <f>M29*(1+'Data to enter'!L8)</f>
        <v>368.96215962746101</v>
      </c>
      <c r="O29" s="111">
        <f>N29*(1+'Data to enter'!M8)</f>
        <v>380.03102441628482</v>
      </c>
      <c r="P29" s="111">
        <f>O29*(1+'Data to enter'!N8)</f>
        <v>391.4319551487734</v>
      </c>
    </row>
    <row r="30" spans="1:18" ht="15" x14ac:dyDescent="0.25">
      <c r="A30" s="57"/>
      <c r="B30" s="57" t="s">
        <v>5</v>
      </c>
      <c r="C30" s="57"/>
      <c r="D30" s="57"/>
      <c r="E30" s="136"/>
      <c r="F30" s="136"/>
      <c r="G30" s="137">
        <f>'p3 one year'!G32</f>
        <v>86</v>
      </c>
      <c r="H30" s="111">
        <f>G30*(1+'Data to enter'!F8)</f>
        <v>88.58</v>
      </c>
      <c r="I30" s="111">
        <f>H30*(1+'Data to enter'!G8)</f>
        <v>91.237399999999994</v>
      </c>
      <c r="J30" s="111">
        <f>I30*(1+'Data to enter'!H8)</f>
        <v>93.974521999999993</v>
      </c>
      <c r="K30" s="111">
        <f>J30*(1+'Data to enter'!I8)</f>
        <v>96.793757659999997</v>
      </c>
      <c r="L30" s="111">
        <f>K30*(1+'Data to enter'!J8)</f>
        <v>99.697570389800006</v>
      </c>
      <c r="M30" s="111">
        <f>L30*(1+'Data to enter'!K8)</f>
        <v>102.68849750149401</v>
      </c>
      <c r="N30" s="111">
        <f>M30*(1+'Data to enter'!L8)</f>
        <v>105.76915242653884</v>
      </c>
      <c r="O30" s="111">
        <f>N30*(1+'Data to enter'!M8)</f>
        <v>108.94222699933501</v>
      </c>
      <c r="P30" s="111">
        <f>O30*(1+'Data to enter'!N8)</f>
        <v>112.21049380931505</v>
      </c>
    </row>
    <row r="31" spans="1:18" ht="15" x14ac:dyDescent="0.25">
      <c r="A31" s="57"/>
      <c r="B31" s="57"/>
      <c r="C31" s="57"/>
      <c r="D31" s="57"/>
      <c r="E31" s="57"/>
      <c r="F31" s="57"/>
      <c r="G31" s="57"/>
    </row>
    <row r="32" spans="1:18" ht="17.399999999999999" x14ac:dyDescent="0.3">
      <c r="A32" s="57"/>
      <c r="B32" s="64" t="s">
        <v>4</v>
      </c>
      <c r="C32" s="64"/>
      <c r="D32" s="57"/>
      <c r="E32" s="57"/>
      <c r="F32" s="57"/>
      <c r="G32" s="140">
        <f>SUM(G20:G30)</f>
        <v>19022.504000000001</v>
      </c>
      <c r="H32" s="140">
        <f t="shared" ref="H32:P32" si="1">SUM(H20:H30)</f>
        <v>19504.326400000002</v>
      </c>
      <c r="I32" s="140">
        <f t="shared" si="1"/>
        <v>19976.187332000001</v>
      </c>
      <c r="J32" s="140">
        <f t="shared" si="1"/>
        <v>20732.066691960004</v>
      </c>
      <c r="K32" s="140">
        <f t="shared" si="1"/>
        <v>21496.853932718797</v>
      </c>
      <c r="L32" s="140">
        <f t="shared" si="1"/>
        <v>24124.974290700364</v>
      </c>
      <c r="M32" s="140">
        <f t="shared" si="1"/>
        <v>24908.387019421374</v>
      </c>
      <c r="N32" s="140">
        <f t="shared" si="1"/>
        <v>25701.533630004014</v>
      </c>
      <c r="O32" s="140">
        <f t="shared" si="1"/>
        <v>26504.706138904141</v>
      </c>
      <c r="P32" s="140">
        <f t="shared" si="1"/>
        <v>27318.205323071266</v>
      </c>
      <c r="Q32" s="95"/>
      <c r="R32" s="95"/>
    </row>
    <row r="33" spans="1:18" ht="15" x14ac:dyDescent="0.25">
      <c r="A33" s="57"/>
      <c r="B33" s="57"/>
      <c r="C33" s="57"/>
      <c r="D33" s="57"/>
      <c r="E33" s="57"/>
      <c r="F33" s="57"/>
      <c r="G33" s="111"/>
      <c r="H33" s="95"/>
      <c r="I33" s="95"/>
      <c r="J33" s="95"/>
      <c r="K33" s="95"/>
      <c r="L33" s="95"/>
      <c r="M33" s="95"/>
      <c r="N33" s="95"/>
      <c r="O33" s="95"/>
      <c r="P33" s="95"/>
      <c r="Q33" s="95"/>
      <c r="R33" s="95"/>
    </row>
    <row r="34" spans="1:18" ht="15" x14ac:dyDescent="0.25">
      <c r="A34" s="141"/>
      <c r="B34" s="142" t="s">
        <v>10</v>
      </c>
      <c r="C34" s="142"/>
      <c r="D34" s="142"/>
      <c r="E34" s="141"/>
      <c r="F34" s="141"/>
      <c r="G34" s="143">
        <f>G14-G32</f>
        <v>5417.4959999999992</v>
      </c>
      <c r="H34" s="143">
        <f t="shared" ref="H34:P34" si="2">H14-H32</f>
        <v>5668.873599999999</v>
      </c>
      <c r="I34" s="143">
        <f t="shared" si="2"/>
        <v>5952.2086679999993</v>
      </c>
      <c r="J34" s="143">
        <f t="shared" si="2"/>
        <v>5974.1811880399982</v>
      </c>
      <c r="K34" s="143">
        <f t="shared" si="2"/>
        <v>6010.5813836812049</v>
      </c>
      <c r="L34" s="143">
        <f t="shared" si="2"/>
        <v>4207.6840851916386</v>
      </c>
      <c r="M34" s="143">
        <f t="shared" si="2"/>
        <v>4274.2511077473901</v>
      </c>
      <c r="N34" s="143">
        <f t="shared" si="2"/>
        <v>4356.5836409798139</v>
      </c>
      <c r="O34" s="143">
        <f t="shared" si="2"/>
        <v>4455.1546502092024</v>
      </c>
      <c r="P34" s="143">
        <f t="shared" si="2"/>
        <v>4570.4512897154782</v>
      </c>
      <c r="Q34" s="95"/>
      <c r="R34" s="95"/>
    </row>
    <row r="35" spans="1:18" ht="15" x14ac:dyDescent="0.25">
      <c r="A35" s="57"/>
      <c r="B35" s="57"/>
      <c r="C35" s="57"/>
      <c r="D35" s="57"/>
      <c r="E35" s="57"/>
      <c r="F35" s="57"/>
      <c r="G35" s="111"/>
      <c r="H35" s="95"/>
      <c r="I35" s="95"/>
      <c r="J35" s="95"/>
      <c r="K35" s="95"/>
      <c r="L35" s="95"/>
      <c r="M35" s="95"/>
      <c r="N35" s="95"/>
      <c r="O35" s="95"/>
      <c r="P35" s="95"/>
      <c r="Q35" s="95"/>
      <c r="R35" s="95"/>
    </row>
    <row r="36" spans="1:18" ht="15" x14ac:dyDescent="0.25">
      <c r="A36" s="57"/>
      <c r="B36" s="60" t="s">
        <v>12</v>
      </c>
      <c r="C36" s="60"/>
      <c r="D36" s="57"/>
      <c r="E36" s="57" t="s">
        <v>15</v>
      </c>
      <c r="F36" s="57"/>
      <c r="G36" s="111"/>
      <c r="H36" s="95"/>
      <c r="I36" s="95"/>
      <c r="J36" s="95"/>
      <c r="K36" s="95"/>
      <c r="L36" s="95"/>
      <c r="M36" s="95"/>
      <c r="N36" s="95"/>
      <c r="O36" s="95"/>
      <c r="P36" s="95"/>
      <c r="Q36" s="95"/>
      <c r="R36" s="95"/>
    </row>
    <row r="37" spans="1:18" ht="15" x14ac:dyDescent="0.25">
      <c r="A37" s="57"/>
      <c r="B37" s="57"/>
      <c r="C37" s="57"/>
      <c r="D37" s="57"/>
      <c r="E37" s="57" t="s">
        <v>16</v>
      </c>
      <c r="F37" s="57"/>
      <c r="G37" s="144">
        <f>'p3 one year'!H39</f>
        <v>3500</v>
      </c>
      <c r="H37" s="144">
        <f>G37*0.75</f>
        <v>2625</v>
      </c>
      <c r="I37" s="144">
        <f t="shared" ref="I37:P37" si="3">H37*0.75</f>
        <v>1968.75</v>
      </c>
      <c r="J37" s="144">
        <f t="shared" si="3"/>
        <v>1476.5625</v>
      </c>
      <c r="K37" s="144">
        <f t="shared" si="3"/>
        <v>1107.421875</v>
      </c>
      <c r="L37" s="144">
        <f t="shared" si="3"/>
        <v>830.56640625</v>
      </c>
      <c r="M37" s="144">
        <f t="shared" si="3"/>
        <v>622.9248046875</v>
      </c>
      <c r="N37" s="144">
        <f t="shared" si="3"/>
        <v>467.193603515625</v>
      </c>
      <c r="O37" s="144">
        <f t="shared" si="3"/>
        <v>350.39520263671875</v>
      </c>
      <c r="P37" s="144">
        <f t="shared" si="3"/>
        <v>262.79640197753906</v>
      </c>
      <c r="Q37" s="95"/>
      <c r="R37" s="95"/>
    </row>
    <row r="38" spans="1:18" ht="15" x14ac:dyDescent="0.25">
      <c r="A38" s="57"/>
      <c r="B38" s="57"/>
      <c r="C38" s="57"/>
      <c r="D38" s="57"/>
      <c r="E38" s="57"/>
      <c r="F38" s="57"/>
      <c r="G38" s="111"/>
      <c r="H38" s="95"/>
      <c r="I38" s="95"/>
      <c r="J38" s="95"/>
      <c r="K38" s="95"/>
      <c r="L38" s="95"/>
      <c r="M38" s="95"/>
      <c r="N38" s="95"/>
      <c r="O38" s="95"/>
      <c r="P38" s="95"/>
      <c r="Q38" s="95"/>
      <c r="R38" s="95"/>
    </row>
    <row r="39" spans="1:18" ht="15" x14ac:dyDescent="0.25">
      <c r="A39" s="57"/>
      <c r="B39" s="57"/>
      <c r="C39" s="57"/>
      <c r="D39" s="57"/>
      <c r="E39" s="57"/>
      <c r="F39" s="57"/>
      <c r="G39" s="111"/>
      <c r="H39" s="95"/>
      <c r="I39" s="95"/>
      <c r="J39" s="95"/>
      <c r="K39" s="95"/>
      <c r="L39" s="95"/>
      <c r="M39" s="95"/>
      <c r="N39" s="95"/>
      <c r="O39" s="95"/>
      <c r="P39" s="95"/>
      <c r="Q39" s="95"/>
      <c r="R39" s="95"/>
    </row>
    <row r="40" spans="1:18" ht="15" x14ac:dyDescent="0.25">
      <c r="A40" s="57"/>
      <c r="B40" s="60" t="s">
        <v>13</v>
      </c>
      <c r="C40" s="60"/>
      <c r="D40" s="60"/>
      <c r="E40" s="60"/>
      <c r="F40" s="60"/>
      <c r="G40" s="66">
        <f>G34-G37</f>
        <v>1917.4959999999992</v>
      </c>
      <c r="H40" s="66">
        <f t="shared" ref="H40:P40" si="4">H34-H37</f>
        <v>3043.873599999999</v>
      </c>
      <c r="I40" s="66">
        <f t="shared" si="4"/>
        <v>3983.4586679999993</v>
      </c>
      <c r="J40" s="66">
        <f t="shared" si="4"/>
        <v>4497.6186880399982</v>
      </c>
      <c r="K40" s="66">
        <f t="shared" si="4"/>
        <v>4903.1595086812049</v>
      </c>
      <c r="L40" s="66">
        <f t="shared" si="4"/>
        <v>3377.1176789416386</v>
      </c>
      <c r="M40" s="66">
        <f t="shared" si="4"/>
        <v>3651.3263030598901</v>
      </c>
      <c r="N40" s="66">
        <f t="shared" si="4"/>
        <v>3889.3900374641889</v>
      </c>
      <c r="O40" s="66">
        <f t="shared" si="4"/>
        <v>4104.7594475724836</v>
      </c>
      <c r="P40" s="66">
        <f t="shared" si="4"/>
        <v>4307.6548877379391</v>
      </c>
      <c r="Q40" s="95"/>
      <c r="R40" s="95"/>
    </row>
    <row r="41" spans="1:18" ht="15" x14ac:dyDescent="0.25">
      <c r="A41" s="57"/>
      <c r="B41" s="60"/>
      <c r="C41" s="60"/>
      <c r="D41" s="60"/>
      <c r="E41" s="60"/>
      <c r="F41" s="60"/>
      <c r="G41" s="66"/>
      <c r="H41" s="95"/>
      <c r="I41" s="95"/>
      <c r="J41" s="95"/>
      <c r="K41" s="95"/>
      <c r="L41" s="95"/>
      <c r="M41" s="95"/>
      <c r="N41" s="95"/>
      <c r="O41" s="95"/>
      <c r="P41" s="95"/>
      <c r="Q41" s="95"/>
      <c r="R41" s="95"/>
    </row>
    <row r="42" spans="1:18" ht="17.399999999999999" x14ac:dyDescent="0.3">
      <c r="A42" s="57"/>
      <c r="B42" s="70" t="s">
        <v>30</v>
      </c>
      <c r="C42" s="60"/>
      <c r="D42" s="60"/>
      <c r="E42" s="138"/>
      <c r="F42" s="60"/>
      <c r="G42" s="66">
        <f>IF(G40&lt;0,0,-(G40*$G$43*$E$43)+-(G40*$G$44*$E$44))</f>
        <v>-629.80156119999981</v>
      </c>
      <c r="H42" s="66">
        <f>IF(H40&lt;0,0,-(H40*$G$43*$E$43)+-(H40*$G$44*$E$44))</f>
        <v>-999.76028391999967</v>
      </c>
      <c r="I42" s="66">
        <f t="shared" ref="I42:P42" si="5">IF(I40&lt;0,0,-(I40*$G$43*$E$43)+-(I40*$G$44*$E$44))</f>
        <v>-1308.3669995045998</v>
      </c>
      <c r="J42" s="66">
        <f t="shared" si="5"/>
        <v>-1477.2428580867374</v>
      </c>
      <c r="K42" s="66">
        <f t="shared" si="5"/>
        <v>-1610.4427406263419</v>
      </c>
      <c r="L42" s="66">
        <f t="shared" si="5"/>
        <v>-1109.2143016483813</v>
      </c>
      <c r="M42" s="66">
        <f t="shared" si="5"/>
        <v>-1199.278124240021</v>
      </c>
      <c r="N42" s="66">
        <f t="shared" si="5"/>
        <v>-1277.4701578051129</v>
      </c>
      <c r="O42" s="66">
        <f t="shared" si="5"/>
        <v>-1348.2082405551821</v>
      </c>
      <c r="P42" s="66">
        <f t="shared" si="5"/>
        <v>-1414.8492478775261</v>
      </c>
      <c r="Q42" s="95"/>
      <c r="R42" s="95">
        <f>SUM(H42:P42)</f>
        <v>-11744.832954263904</v>
      </c>
    </row>
    <row r="43" spans="1:18" ht="15" x14ac:dyDescent="0.25">
      <c r="A43" s="57"/>
      <c r="B43" s="60"/>
      <c r="C43" s="60" t="s">
        <v>32</v>
      </c>
      <c r="D43" s="60" t="s">
        <v>31</v>
      </c>
      <c r="E43" s="138">
        <f>'p3 one year'!E45</f>
        <v>0.33</v>
      </c>
      <c r="F43" s="60"/>
      <c r="G43" s="145">
        <f>'p3 one year'!G45</f>
        <v>0.99</v>
      </c>
      <c r="K43" s="146"/>
      <c r="L43" s="146"/>
      <c r="M43" s="146"/>
      <c r="N43" s="146"/>
    </row>
    <row r="44" spans="1:18" ht="15" x14ac:dyDescent="0.25">
      <c r="A44" s="57"/>
      <c r="B44" s="60"/>
      <c r="C44" s="60" t="s">
        <v>34</v>
      </c>
      <c r="D44" s="60"/>
      <c r="E44" s="138">
        <f>'p3 one year'!E46</f>
        <v>0.17499999999999999</v>
      </c>
      <c r="F44" s="60"/>
      <c r="G44" s="145">
        <f>'p3 one year'!G46</f>
        <v>0.01</v>
      </c>
    </row>
    <row r="45" spans="1:18" ht="15" x14ac:dyDescent="0.25">
      <c r="A45" s="57"/>
      <c r="B45" s="72"/>
      <c r="C45" s="72"/>
      <c r="D45" s="72"/>
      <c r="E45" s="72"/>
      <c r="F45" s="72"/>
      <c r="G45" s="72"/>
    </row>
    <row r="46" spans="1:18" ht="18" thickBot="1" x14ac:dyDescent="0.35">
      <c r="A46" s="57"/>
      <c r="B46" s="60" t="s">
        <v>36</v>
      </c>
      <c r="C46" s="72"/>
      <c r="D46" s="72"/>
      <c r="E46" s="72"/>
      <c r="F46" s="72"/>
      <c r="G46" s="147">
        <f>G34+G42</f>
        <v>4787.6944387999993</v>
      </c>
      <c r="H46" s="147">
        <f t="shared" ref="H46:P46" si="6">H34+H42</f>
        <v>4669.1133160799991</v>
      </c>
      <c r="I46" s="147">
        <f t="shared" si="6"/>
        <v>4643.8416684953991</v>
      </c>
      <c r="J46" s="147">
        <f t="shared" si="6"/>
        <v>4496.938329953261</v>
      </c>
      <c r="K46" s="147">
        <f t="shared" si="6"/>
        <v>4400.1386430548628</v>
      </c>
      <c r="L46" s="147">
        <f t="shared" si="6"/>
        <v>3098.4697835432571</v>
      </c>
      <c r="M46" s="147">
        <f t="shared" si="6"/>
        <v>3074.972983507369</v>
      </c>
      <c r="N46" s="147">
        <f t="shared" si="6"/>
        <v>3079.1134831747013</v>
      </c>
      <c r="O46" s="147">
        <f t="shared" si="6"/>
        <v>3106.9464096540205</v>
      </c>
      <c r="P46" s="147">
        <f t="shared" si="6"/>
        <v>3155.6020418379521</v>
      </c>
    </row>
    <row r="47" spans="1:18" ht="15.6" thickTop="1" x14ac:dyDescent="0.25">
      <c r="A47" s="57"/>
      <c r="B47" s="57"/>
      <c r="C47" s="57"/>
      <c r="D47" s="57"/>
      <c r="E47" s="57"/>
      <c r="F47" s="57"/>
      <c r="G47" s="111"/>
    </row>
    <row r="48" spans="1:18" ht="15" x14ac:dyDescent="0.25">
      <c r="A48" s="57"/>
      <c r="B48" s="60" t="s">
        <v>17</v>
      </c>
      <c r="C48" s="57"/>
      <c r="D48" s="57"/>
      <c r="E48" s="57"/>
      <c r="F48" s="57"/>
      <c r="G48" s="66">
        <f>G46/52</f>
        <v>92.071046899999985</v>
      </c>
      <c r="H48" s="66">
        <f t="shared" ref="H48:P48" si="7">H46/52</f>
        <v>89.790640693846143</v>
      </c>
      <c r="I48" s="66">
        <f t="shared" si="7"/>
        <v>89.304647471065365</v>
      </c>
      <c r="J48" s="66">
        <f t="shared" si="7"/>
        <v>86.479583268331936</v>
      </c>
      <c r="K48" s="66">
        <f t="shared" si="7"/>
        <v>84.618050827978124</v>
      </c>
      <c r="L48" s="66">
        <f t="shared" si="7"/>
        <v>59.585957375831867</v>
      </c>
      <c r="M48" s="66">
        <f t="shared" si="7"/>
        <v>59.134095836680174</v>
      </c>
      <c r="N48" s="66">
        <f t="shared" si="7"/>
        <v>59.213720830282718</v>
      </c>
      <c r="O48" s="66">
        <f t="shared" si="7"/>
        <v>59.748969416423471</v>
      </c>
      <c r="P48" s="66">
        <f t="shared" si="7"/>
        <v>60.684654650729847</v>
      </c>
    </row>
    <row r="49" spans="1:18" ht="15" x14ac:dyDescent="0.25">
      <c r="A49" s="57"/>
      <c r="B49" s="57"/>
      <c r="C49" s="57"/>
      <c r="D49" s="57"/>
      <c r="E49" s="57"/>
      <c r="F49" s="57"/>
      <c r="G49" s="63"/>
    </row>
    <row r="50" spans="1:18" ht="15" x14ac:dyDescent="0.25">
      <c r="A50" s="57"/>
      <c r="B50" s="57"/>
      <c r="C50" s="57"/>
      <c r="D50" s="57"/>
      <c r="E50" s="57"/>
      <c r="F50" s="57"/>
      <c r="G50" s="62"/>
    </row>
    <row r="51" spans="1:18" ht="15" x14ac:dyDescent="0.25">
      <c r="A51" s="57"/>
      <c r="B51" s="57" t="s">
        <v>50</v>
      </c>
      <c r="C51" s="57"/>
      <c r="D51" s="57"/>
      <c r="E51" s="57"/>
      <c r="F51" s="57"/>
      <c r="G51" s="111">
        <f>G6-G10</f>
        <v>-1160</v>
      </c>
      <c r="H51" s="111">
        <f t="shared" ref="H51:P51" si="8">H6-H10</f>
        <v>-1160</v>
      </c>
      <c r="I51" s="111">
        <f t="shared" si="8"/>
        <v>-1160</v>
      </c>
      <c r="J51" s="111">
        <f t="shared" si="8"/>
        <v>7989.9999999999418</v>
      </c>
      <c r="K51" s="111">
        <f t="shared" si="8"/>
        <v>26747.499999999942</v>
      </c>
      <c r="L51" s="111">
        <f t="shared" si="8"/>
        <v>54321.024999999965</v>
      </c>
      <c r="M51" s="111">
        <f t="shared" si="8"/>
        <v>92254.317250000022</v>
      </c>
      <c r="N51" s="111">
        <f t="shared" si="8"/>
        <v>142789.89214750007</v>
      </c>
      <c r="O51" s="111">
        <f t="shared" si="8"/>
        <v>219282.37596962508</v>
      </c>
      <c r="P51" s="111">
        <f t="shared" si="8"/>
        <v>277926.61356658768</v>
      </c>
      <c r="R51" s="95">
        <f>P51-R8</f>
        <v>277926.61356658768</v>
      </c>
    </row>
    <row r="52" spans="1:18" ht="15" x14ac:dyDescent="0.25">
      <c r="A52" s="57"/>
      <c r="B52" s="57" t="s">
        <v>51</v>
      </c>
      <c r="C52" s="72"/>
      <c r="D52" s="72"/>
      <c r="E52" s="72"/>
      <c r="F52" s="57"/>
      <c r="G52" s="111">
        <f>G46</f>
        <v>4787.6944387999993</v>
      </c>
      <c r="H52" s="111">
        <f>G52+H46</f>
        <v>9456.8077548799993</v>
      </c>
      <c r="I52" s="111">
        <f t="shared" ref="I52:P52" si="9">H52+I46</f>
        <v>14100.649423375398</v>
      </c>
      <c r="J52" s="111">
        <f t="shared" si="9"/>
        <v>18597.587753328658</v>
      </c>
      <c r="K52" s="111">
        <f t="shared" si="9"/>
        <v>22997.726396383521</v>
      </c>
      <c r="L52" s="111">
        <f t="shared" si="9"/>
        <v>26096.196179926777</v>
      </c>
      <c r="M52" s="111">
        <f t="shared" si="9"/>
        <v>29171.169163434148</v>
      </c>
      <c r="N52" s="111">
        <f t="shared" si="9"/>
        <v>32250.282646608848</v>
      </c>
      <c r="O52" s="111">
        <f t="shared" si="9"/>
        <v>35357.22905626287</v>
      </c>
      <c r="P52" s="111">
        <f t="shared" si="9"/>
        <v>38512.831098100825</v>
      </c>
    </row>
    <row r="53" spans="1:18" ht="14.25" customHeight="1" x14ac:dyDescent="0.25">
      <c r="A53" s="57"/>
      <c r="B53" s="57"/>
      <c r="C53" s="57"/>
      <c r="D53" s="57"/>
      <c r="E53" s="57"/>
      <c r="F53" s="57"/>
      <c r="G53" s="63"/>
    </row>
    <row r="54" spans="1:18" ht="15" hidden="1" x14ac:dyDescent="0.25">
      <c r="A54" s="57"/>
      <c r="B54" s="77"/>
      <c r="C54" s="77"/>
      <c r="D54" s="77"/>
      <c r="E54" s="77"/>
      <c r="F54" s="77"/>
      <c r="G54" s="78"/>
    </row>
    <row r="55" spans="1:18" hidden="1" x14ac:dyDescent="0.25">
      <c r="B55" s="79"/>
      <c r="C55" s="79"/>
      <c r="D55" s="79"/>
      <c r="E55" s="79"/>
      <c r="F55" s="79"/>
      <c r="G55" s="79"/>
    </row>
    <row r="56" spans="1:18" hidden="1" x14ac:dyDescent="0.25">
      <c r="A56" s="56"/>
      <c r="B56" s="80"/>
      <c r="C56" s="81"/>
      <c r="D56" s="80"/>
      <c r="E56" s="80"/>
      <c r="F56" s="80"/>
      <c r="G56" s="80"/>
    </row>
    <row r="57" spans="1:18" hidden="1" x14ac:dyDescent="0.25">
      <c r="A57" s="56"/>
      <c r="B57" s="56"/>
      <c r="C57" s="56"/>
      <c r="D57" s="56"/>
      <c r="E57" s="56"/>
      <c r="F57" s="56"/>
      <c r="G57" s="56"/>
    </row>
    <row r="58" spans="1:18" ht="29.4" x14ac:dyDescent="0.45">
      <c r="A58" s="56"/>
      <c r="B58" s="191"/>
      <c r="C58" s="191"/>
      <c r="D58" s="191"/>
      <c r="E58" s="191"/>
      <c r="F58" s="191"/>
      <c r="G58" s="191"/>
    </row>
    <row r="59" spans="1:18" ht="29.4" x14ac:dyDescent="0.45">
      <c r="A59" s="56"/>
      <c r="B59" s="148" t="s">
        <v>53</v>
      </c>
      <c r="C59" s="128"/>
      <c r="D59" s="128"/>
      <c r="E59" s="128"/>
      <c r="F59" s="128"/>
      <c r="G59" s="128"/>
    </row>
    <row r="60" spans="1:18" ht="29.4" x14ac:dyDescent="0.45">
      <c r="A60" s="56"/>
      <c r="B60" s="128"/>
      <c r="C60" s="128"/>
      <c r="D60" s="128"/>
      <c r="E60" s="128"/>
      <c r="F60" s="128"/>
      <c r="G60" s="128"/>
    </row>
    <row r="61" spans="1:18" ht="15" x14ac:dyDescent="0.25">
      <c r="A61" s="56"/>
      <c r="B61" s="149" t="s">
        <v>54</v>
      </c>
      <c r="C61" s="150"/>
      <c r="D61" s="150"/>
      <c r="E61" s="150"/>
      <c r="F61" s="150"/>
      <c r="G61" s="150"/>
    </row>
    <row r="62" spans="1:18" ht="15" x14ac:dyDescent="0.25">
      <c r="A62" s="56"/>
      <c r="B62" s="151"/>
      <c r="C62" s="151"/>
      <c r="D62" s="151"/>
      <c r="E62" s="151"/>
      <c r="F62" s="151"/>
      <c r="G62" s="151"/>
    </row>
    <row r="63" spans="1:18" ht="15" x14ac:dyDescent="0.25">
      <c r="A63" s="56"/>
      <c r="B63" s="57" t="s">
        <v>55</v>
      </c>
      <c r="C63" s="151"/>
      <c r="D63" s="151"/>
      <c r="E63" s="151"/>
      <c r="F63" s="151"/>
      <c r="G63" s="151"/>
    </row>
    <row r="64" spans="1:18" ht="15" x14ac:dyDescent="0.25">
      <c r="A64" s="57"/>
      <c r="B64" s="57"/>
      <c r="C64" s="57"/>
      <c r="D64" s="57"/>
      <c r="E64" s="57"/>
      <c r="F64" s="57"/>
      <c r="G64" s="57"/>
    </row>
    <row r="65" spans="1:7" ht="15" x14ac:dyDescent="0.25">
      <c r="A65" s="57"/>
      <c r="B65" s="57" t="s">
        <v>56</v>
      </c>
      <c r="C65" s="57"/>
      <c r="D65" s="57"/>
      <c r="E65" s="57"/>
      <c r="F65" s="57"/>
      <c r="G65" s="57"/>
    </row>
    <row r="66" spans="1:7" ht="15" x14ac:dyDescent="0.25">
      <c r="A66" s="57"/>
      <c r="B66" s="60"/>
      <c r="C66" s="57"/>
      <c r="D66" s="57"/>
      <c r="E66" s="57"/>
      <c r="F66" s="57"/>
      <c r="G66" s="57"/>
    </row>
    <row r="67" spans="1:7" ht="15" x14ac:dyDescent="0.25">
      <c r="A67" s="57"/>
      <c r="B67" s="57" t="s">
        <v>57</v>
      </c>
      <c r="C67" s="57"/>
      <c r="D67" s="57"/>
      <c r="E67" s="57"/>
      <c r="F67" s="57"/>
      <c r="G67" s="57"/>
    </row>
    <row r="68" spans="1:7" ht="15" x14ac:dyDescent="0.25">
      <c r="A68" s="57"/>
      <c r="B68" s="57"/>
      <c r="C68" s="57"/>
      <c r="D68" s="57"/>
      <c r="E68" s="57"/>
      <c r="F68" s="57"/>
      <c r="G68" s="57"/>
    </row>
    <row r="69" spans="1:7" ht="15" x14ac:dyDescent="0.25">
      <c r="A69" s="57"/>
      <c r="B69" s="57" t="s">
        <v>58</v>
      </c>
      <c r="C69" s="57"/>
      <c r="D69" s="57"/>
      <c r="E69" s="57"/>
      <c r="F69" s="57"/>
      <c r="G69" s="57"/>
    </row>
    <row r="70" spans="1:7" ht="15" x14ac:dyDescent="0.25">
      <c r="A70" s="57"/>
      <c r="B70" s="57"/>
      <c r="C70" s="57"/>
      <c r="D70" s="57"/>
      <c r="E70" s="57"/>
      <c r="F70" s="57"/>
      <c r="G70" s="57"/>
    </row>
    <row r="71" spans="1:7" ht="15" x14ac:dyDescent="0.25">
      <c r="A71" s="57"/>
      <c r="B71" s="57" t="s">
        <v>60</v>
      </c>
      <c r="C71" s="57"/>
      <c r="D71" s="57"/>
      <c r="E71" s="57"/>
      <c r="F71" s="57"/>
      <c r="G71" s="57" t="s">
        <v>88</v>
      </c>
    </row>
    <row r="72" spans="1:7" ht="15" x14ac:dyDescent="0.25">
      <c r="A72" s="57"/>
      <c r="B72" s="57"/>
      <c r="C72" s="57"/>
      <c r="D72" s="57"/>
      <c r="E72" s="57"/>
      <c r="F72" s="57"/>
      <c r="G72" s="57"/>
    </row>
    <row r="73" spans="1:7" ht="15" x14ac:dyDescent="0.25">
      <c r="A73" s="57"/>
      <c r="B73" s="57"/>
      <c r="C73" s="57"/>
      <c r="D73" s="57"/>
      <c r="E73" s="57"/>
      <c r="F73" s="57"/>
      <c r="G73" s="57"/>
    </row>
    <row r="74" spans="1:7" ht="15" x14ac:dyDescent="0.25">
      <c r="A74" s="57"/>
      <c r="B74" s="57"/>
      <c r="C74" s="57"/>
      <c r="D74" s="57"/>
      <c r="E74" s="57"/>
      <c r="F74" s="57"/>
      <c r="G74" s="57"/>
    </row>
    <row r="75" spans="1:7" ht="15" x14ac:dyDescent="0.25">
      <c r="A75" s="57"/>
      <c r="B75" s="57"/>
      <c r="C75" s="57"/>
      <c r="D75" s="57"/>
      <c r="E75" s="57"/>
      <c r="F75" s="57"/>
      <c r="G75" s="57"/>
    </row>
    <row r="76" spans="1:7" ht="15" x14ac:dyDescent="0.25">
      <c r="A76" s="57"/>
      <c r="B76" s="57"/>
      <c r="C76" s="57"/>
      <c r="D76" s="57"/>
      <c r="E76" s="57"/>
      <c r="F76" s="57"/>
      <c r="G76" s="57"/>
    </row>
    <row r="77" spans="1:7" ht="15" x14ac:dyDescent="0.25">
      <c r="A77" s="57"/>
      <c r="B77" s="57"/>
      <c r="C77" s="57"/>
      <c r="D77" s="57"/>
      <c r="E77" s="57"/>
      <c r="F77" s="57"/>
      <c r="G77" s="57"/>
    </row>
    <row r="78" spans="1:7" ht="15" x14ac:dyDescent="0.25">
      <c r="A78" s="57"/>
      <c r="B78" s="57"/>
      <c r="C78" s="57"/>
      <c r="D78" s="57"/>
      <c r="E78" s="57"/>
      <c r="F78" s="57"/>
      <c r="G78" s="57"/>
    </row>
    <row r="79" spans="1:7" ht="15" x14ac:dyDescent="0.25">
      <c r="A79" s="57"/>
      <c r="B79" s="57"/>
      <c r="C79" s="57"/>
      <c r="D79" s="57"/>
      <c r="E79" s="57"/>
      <c r="F79" s="57"/>
      <c r="G79" s="57"/>
    </row>
    <row r="80" spans="1:7" ht="15" x14ac:dyDescent="0.25">
      <c r="A80" s="57"/>
      <c r="B80" s="57"/>
      <c r="C80" s="57"/>
      <c r="D80" s="57"/>
      <c r="E80" s="57"/>
      <c r="F80" s="57"/>
      <c r="G80" s="57"/>
    </row>
    <row r="81" spans="1:7" ht="15" x14ac:dyDescent="0.25">
      <c r="A81" s="57"/>
      <c r="B81" s="57"/>
      <c r="C81" s="57"/>
      <c r="D81" s="57"/>
      <c r="E81" s="57"/>
      <c r="F81" s="57"/>
      <c r="G81" s="57"/>
    </row>
    <row r="82" spans="1:7" ht="15" x14ac:dyDescent="0.25">
      <c r="A82" s="57"/>
      <c r="B82" s="57"/>
      <c r="C82" s="57"/>
      <c r="D82" s="57"/>
      <c r="E82" s="57"/>
      <c r="F82" s="57"/>
      <c r="G82" s="57"/>
    </row>
    <row r="83" spans="1:7" ht="15" x14ac:dyDescent="0.25">
      <c r="A83" s="57"/>
      <c r="B83" s="57"/>
      <c r="C83" s="57"/>
      <c r="D83" s="57"/>
      <c r="E83" s="57"/>
      <c r="F83" s="57"/>
      <c r="G83" s="57"/>
    </row>
    <row r="84" spans="1:7" ht="15" x14ac:dyDescent="0.25">
      <c r="A84" s="57"/>
      <c r="B84" s="57"/>
      <c r="C84" s="57"/>
      <c r="D84" s="57"/>
      <c r="E84" s="57"/>
      <c r="F84" s="57"/>
      <c r="G84" s="57"/>
    </row>
    <row r="85" spans="1:7" ht="15" x14ac:dyDescent="0.25">
      <c r="A85" s="57"/>
      <c r="B85" s="57"/>
      <c r="C85" s="57"/>
      <c r="D85" s="57"/>
      <c r="E85" s="57"/>
      <c r="F85" s="57"/>
      <c r="G85" s="57"/>
    </row>
    <row r="86" spans="1:7" ht="15" x14ac:dyDescent="0.25">
      <c r="A86" s="57"/>
      <c r="B86" s="57"/>
      <c r="C86" s="57"/>
      <c r="D86" s="57"/>
      <c r="E86" s="57"/>
      <c r="F86" s="57"/>
      <c r="G86" s="57"/>
    </row>
    <row r="87" spans="1:7" ht="15" x14ac:dyDescent="0.25">
      <c r="A87" s="57"/>
      <c r="B87" s="57"/>
      <c r="C87" s="57"/>
      <c r="D87" s="57"/>
      <c r="E87" s="57"/>
      <c r="F87" s="57"/>
      <c r="G87" s="57"/>
    </row>
    <row r="88" spans="1:7" ht="15" x14ac:dyDescent="0.25">
      <c r="A88" s="57"/>
      <c r="B88" s="72"/>
      <c r="C88" s="72"/>
      <c r="D88" s="72"/>
      <c r="E88" s="72"/>
      <c r="F88" s="72"/>
      <c r="G88" s="72"/>
    </row>
    <row r="89" spans="1:7" ht="15" x14ac:dyDescent="0.25">
      <c r="A89" s="57"/>
      <c r="B89" s="72"/>
      <c r="C89" s="72"/>
      <c r="D89" s="72"/>
      <c r="E89" s="72"/>
      <c r="F89" s="72"/>
      <c r="G89" s="72"/>
    </row>
    <row r="90" spans="1:7" ht="15" x14ac:dyDescent="0.25">
      <c r="A90" s="57"/>
      <c r="B90" s="72"/>
      <c r="C90" s="72"/>
      <c r="D90" s="72"/>
      <c r="E90" s="72"/>
      <c r="F90" s="72"/>
      <c r="G90" s="72"/>
    </row>
    <row r="91" spans="1:7" ht="15" x14ac:dyDescent="0.25">
      <c r="A91" s="57"/>
      <c r="B91" s="72"/>
      <c r="C91" s="72"/>
      <c r="D91" s="72"/>
      <c r="E91" s="72"/>
      <c r="F91" s="72"/>
      <c r="G91" s="72"/>
    </row>
    <row r="92" spans="1:7" ht="15" x14ac:dyDescent="0.25">
      <c r="A92" s="57"/>
      <c r="B92" s="82"/>
      <c r="C92" s="82"/>
      <c r="D92" s="82"/>
      <c r="E92" s="82"/>
      <c r="F92" s="82"/>
      <c r="G92" s="82"/>
    </row>
    <row r="93" spans="1:7" ht="15" x14ac:dyDescent="0.25">
      <c r="B93" s="83"/>
      <c r="C93" s="83"/>
      <c r="D93" s="83"/>
      <c r="E93" s="83"/>
      <c r="F93" s="84"/>
      <c r="G93" s="83"/>
    </row>
  </sheetData>
  <sheetProtection algorithmName="SHA-512" hashValue="UJXOGkm/CWNAiF80swyrXi2u7lpn3OAbg6OsGx1hKSIEGWrRjVkDN99RyCY3+75d12G0m4Cq9GnOR+AUkWnk/A==" saltValue="m7qrxzLM+zQXNDKHNJUHqQ==" spinCount="100000" sheet="1" selectLockedCells="1"/>
  <mergeCells count="3">
    <mergeCell ref="A1:G1"/>
    <mergeCell ref="E2:H2"/>
    <mergeCell ref="B58:G58"/>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FEE8-CB46-439E-A3B6-C11285EDC133}">
  <sheetPr codeName="Sheet14">
    <pageSetUpPr fitToPage="1"/>
  </sheetPr>
  <dimension ref="A1:R93"/>
  <sheetViews>
    <sheetView zoomScaleNormal="100" workbookViewId="0">
      <pane xSplit="7" ySplit="18" topLeftCell="H22" activePane="bottomRight" state="frozen"/>
      <selection pane="topRight" activeCell="H1" sqref="H1"/>
      <selection pane="bottomLeft" activeCell="A19" sqref="A19"/>
      <selection pane="bottomRight" activeCell="H8" sqref="H8"/>
    </sheetView>
  </sheetViews>
  <sheetFormatPr defaultColWidth="9.109375" defaultRowHeight="13.2" x14ac:dyDescent="0.25"/>
  <cols>
    <col min="1" max="1" width="3.5546875" style="54" customWidth="1"/>
    <col min="2" max="2" width="20" style="54" customWidth="1"/>
    <col min="3" max="3" width="12.88671875" style="54" customWidth="1"/>
    <col min="4" max="4" width="13" style="54" bestFit="1" customWidth="1"/>
    <col min="5" max="5" width="13.33203125" style="54" customWidth="1"/>
    <col min="6" max="6" width="6.109375" style="54" customWidth="1"/>
    <col min="7" max="7" width="16" style="54" bestFit="1" customWidth="1"/>
    <col min="8" max="8" width="11.88671875" style="54" customWidth="1"/>
    <col min="9" max="10" width="11.6640625" style="54" customWidth="1"/>
    <col min="11" max="11" width="11.44140625" style="54" customWidth="1"/>
    <col min="12" max="12" width="11.88671875" style="54" customWidth="1"/>
    <col min="13" max="13" width="12.44140625" style="54" customWidth="1"/>
    <col min="14" max="14" width="12" style="54" customWidth="1"/>
    <col min="15" max="16" width="11.6640625" style="54" customWidth="1"/>
    <col min="17" max="16384" width="9.109375" style="54"/>
  </cols>
  <sheetData>
    <row r="1" spans="1:18" ht="55.5" customHeight="1" x14ac:dyDescent="0.25">
      <c r="A1" s="190"/>
      <c r="B1" s="190"/>
      <c r="C1" s="190"/>
      <c r="D1" s="190"/>
      <c r="E1" s="190"/>
      <c r="F1" s="190"/>
      <c r="G1" s="190"/>
      <c r="H1" s="56"/>
    </row>
    <row r="2" spans="1:18" ht="22.8" x14ac:dyDescent="0.4">
      <c r="A2" s="152"/>
      <c r="B2" s="153" t="s">
        <v>24</v>
      </c>
      <c r="C2" s="152"/>
      <c r="D2" s="152"/>
      <c r="E2" s="196"/>
      <c r="F2" s="197"/>
      <c r="G2" s="197"/>
      <c r="H2" s="197"/>
      <c r="K2" s="154">
        <v>5</v>
      </c>
      <c r="P2" s="154">
        <v>10</v>
      </c>
      <c r="Q2" s="56"/>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56"/>
      <c r="B4" s="56"/>
      <c r="C4" s="56"/>
      <c r="D4" s="56"/>
      <c r="E4" s="56"/>
      <c r="F4" s="56"/>
      <c r="G4" s="56"/>
    </row>
    <row r="5" spans="1:18" ht="1.5" customHeight="1" x14ac:dyDescent="0.25">
      <c r="A5" s="56"/>
      <c r="B5" s="57"/>
      <c r="C5" s="56"/>
      <c r="D5" s="58"/>
      <c r="E5" s="56"/>
      <c r="F5" s="56"/>
      <c r="G5" s="56"/>
    </row>
    <row r="6" spans="1:18" ht="15" x14ac:dyDescent="0.25">
      <c r="A6" s="57"/>
      <c r="B6" s="57" t="s">
        <v>21</v>
      </c>
      <c r="C6" s="57"/>
      <c r="D6" s="130"/>
      <c r="E6" s="131"/>
      <c r="F6" s="57"/>
      <c r="G6" s="132">
        <f>'p4 one year repeat p2'!D6</f>
        <v>780000</v>
      </c>
      <c r="H6" s="132">
        <f>G6*(1+'Data to enter'!G4)</f>
        <v>780000</v>
      </c>
      <c r="I6" s="132">
        <f>H6*(1+'Data to enter'!H4)</f>
        <v>780000</v>
      </c>
      <c r="J6" s="132">
        <f>I6*(1+'Data to enter'!I4)</f>
        <v>799499.99999999988</v>
      </c>
      <c r="K6" s="132">
        <f>J6*(1+'Data to enter'!J4)</f>
        <v>839474.99999999988</v>
      </c>
      <c r="L6" s="132">
        <f>K6*(1+'Data to enter'!K4)</f>
        <v>898238.24999999988</v>
      </c>
      <c r="M6" s="132">
        <f>L6*(1+'Data to enter'!L4)</f>
        <v>979079.69249999989</v>
      </c>
      <c r="N6" s="132">
        <f>M6*(1+'Data to enter'!M4)</f>
        <v>1086778.4586749999</v>
      </c>
      <c r="O6" s="132">
        <f>N6*(1+'Data to enter'!N4)</f>
        <v>1249795.2274762497</v>
      </c>
      <c r="P6" s="132">
        <f>O6*(1+'Data to enter'!O4)</f>
        <v>1374774.7502238748</v>
      </c>
    </row>
    <row r="7" spans="1:18" ht="15" x14ac:dyDescent="0.25">
      <c r="A7" s="57"/>
      <c r="B7" s="57"/>
      <c r="C7" s="57"/>
      <c r="D7" s="131"/>
      <c r="E7" s="130"/>
      <c r="F7" s="57"/>
      <c r="G7" s="111"/>
      <c r="H7" s="95"/>
      <c r="I7" s="95"/>
      <c r="J7" s="95"/>
      <c r="K7" s="95"/>
      <c r="L7" s="95"/>
      <c r="M7" s="95"/>
      <c r="N7" s="95"/>
      <c r="O7" s="95"/>
      <c r="P7" s="95"/>
    </row>
    <row r="8" spans="1:18" ht="15" x14ac:dyDescent="0.25">
      <c r="A8" s="57"/>
      <c r="B8" s="57" t="s">
        <v>59</v>
      </c>
      <c r="C8" s="57"/>
      <c r="D8" s="131"/>
      <c r="E8" s="130"/>
      <c r="F8" s="57"/>
      <c r="G8" s="133">
        <f>'p4 one year repeat p2'!E10</f>
        <v>200000</v>
      </c>
      <c r="H8" s="116"/>
      <c r="I8" s="116"/>
      <c r="J8" s="116"/>
      <c r="K8" s="116"/>
      <c r="L8" s="116"/>
      <c r="M8" s="116"/>
      <c r="N8" s="116"/>
      <c r="O8" s="116"/>
      <c r="P8" s="116"/>
      <c r="Q8" s="155"/>
      <c r="R8" s="155">
        <f>SUM(G8:P8)</f>
        <v>200000</v>
      </c>
    </row>
    <row r="9" spans="1:18" ht="15" x14ac:dyDescent="0.25">
      <c r="A9" s="57"/>
      <c r="B9" s="57"/>
      <c r="C9" s="57"/>
      <c r="D9" s="131"/>
      <c r="E9" s="131"/>
      <c r="F9" s="57"/>
      <c r="G9" s="111"/>
      <c r="H9" s="95"/>
      <c r="I9" s="95"/>
      <c r="J9" s="95"/>
      <c r="K9" s="95"/>
      <c r="L9" s="95"/>
      <c r="M9" s="95"/>
      <c r="N9" s="95"/>
      <c r="O9" s="95"/>
      <c r="P9" s="95"/>
    </row>
    <row r="10" spans="1:18" ht="15" x14ac:dyDescent="0.25">
      <c r="A10" s="57"/>
      <c r="B10" s="60" t="s">
        <v>9</v>
      </c>
      <c r="C10" s="57"/>
      <c r="D10" s="131"/>
      <c r="E10" s="130"/>
      <c r="F10" s="57"/>
      <c r="G10" s="111">
        <f>'p4 one year repeat p2'!E12</f>
        <v>581160</v>
      </c>
      <c r="H10" s="111">
        <f>G10-H8</f>
        <v>581160</v>
      </c>
      <c r="I10" s="111">
        <f t="shared" ref="I10:P10" si="0">H10-I8</f>
        <v>581160</v>
      </c>
      <c r="J10" s="111">
        <f t="shared" si="0"/>
        <v>581160</v>
      </c>
      <c r="K10" s="111">
        <f t="shared" si="0"/>
        <v>581160</v>
      </c>
      <c r="L10" s="111">
        <f t="shared" si="0"/>
        <v>581160</v>
      </c>
      <c r="M10" s="111">
        <f t="shared" si="0"/>
        <v>581160</v>
      </c>
      <c r="N10" s="111">
        <f t="shared" si="0"/>
        <v>581160</v>
      </c>
      <c r="O10" s="111">
        <f t="shared" si="0"/>
        <v>581160</v>
      </c>
      <c r="P10" s="111">
        <f t="shared" si="0"/>
        <v>581160</v>
      </c>
    </row>
    <row r="11" spans="1:18" ht="8.25" customHeight="1" x14ac:dyDescent="0.25">
      <c r="A11" s="57"/>
      <c r="B11" s="57"/>
      <c r="C11" s="57"/>
      <c r="D11" s="58"/>
      <c r="E11" s="58"/>
      <c r="F11" s="57"/>
      <c r="G11" s="111"/>
      <c r="H11" s="95"/>
      <c r="I11" s="95"/>
      <c r="J11" s="95"/>
      <c r="K11" s="95"/>
      <c r="L11" s="95"/>
      <c r="M11" s="95"/>
      <c r="N11" s="95"/>
      <c r="O11" s="95"/>
      <c r="P11" s="95"/>
    </row>
    <row r="12" spans="1:18" ht="17.399999999999999" x14ac:dyDescent="0.3">
      <c r="A12" s="57"/>
      <c r="B12" s="61" t="s">
        <v>0</v>
      </c>
      <c r="C12" s="57"/>
      <c r="D12" s="57"/>
      <c r="E12" s="57"/>
      <c r="F12" s="57"/>
      <c r="G12" s="111"/>
      <c r="H12" s="95"/>
      <c r="I12" s="95"/>
      <c r="J12" s="95"/>
      <c r="K12" s="95"/>
      <c r="L12" s="95"/>
      <c r="M12" s="95"/>
      <c r="N12" s="95"/>
      <c r="O12" s="95"/>
      <c r="P12" s="95"/>
    </row>
    <row r="13" spans="1:18" ht="8.25" customHeight="1" x14ac:dyDescent="0.25">
      <c r="A13" s="57"/>
      <c r="B13" s="57"/>
      <c r="C13" s="57"/>
      <c r="D13" s="57"/>
      <c r="E13" s="57"/>
      <c r="F13" s="57"/>
      <c r="G13" s="111"/>
      <c r="H13" s="95"/>
      <c r="I13" s="95"/>
      <c r="J13" s="95"/>
      <c r="K13" s="95"/>
      <c r="L13" s="95"/>
      <c r="M13" s="95"/>
      <c r="N13" s="95"/>
      <c r="O13" s="95"/>
      <c r="P13" s="95"/>
    </row>
    <row r="14" spans="1:18" ht="15" x14ac:dyDescent="0.25">
      <c r="A14" s="57"/>
      <c r="B14" s="57" t="s">
        <v>27</v>
      </c>
      <c r="C14" s="57" t="s">
        <v>25</v>
      </c>
      <c r="D14" s="68">
        <f>'p4 one year repeat p2'!D16</f>
        <v>52</v>
      </c>
      <c r="E14" s="57"/>
      <c r="F14" s="57"/>
      <c r="G14" s="111">
        <f>D14*D15</f>
        <v>30160</v>
      </c>
      <c r="H14" s="132">
        <f>G14*(1+'Data to enter'!F6)</f>
        <v>31064.799999999999</v>
      </c>
      <c r="I14" s="132">
        <f>H14*(1+'Data to enter'!G6)</f>
        <v>31996.743999999999</v>
      </c>
      <c r="J14" s="132">
        <f>I14*(1+'Data to enter'!H6)</f>
        <v>32956.64632</v>
      </c>
      <c r="K14" s="132">
        <f>J14*(1+'Data to enter'!I6)</f>
        <v>33945.345709599998</v>
      </c>
      <c r="L14" s="132">
        <f>K14*(1+'Data to enter'!J6)</f>
        <v>34963.706080887998</v>
      </c>
      <c r="M14" s="132">
        <f>L14*(1+'Data to enter'!K6)</f>
        <v>36012.617263314642</v>
      </c>
      <c r="N14" s="132">
        <f>M14*(1+'Data to enter'!L6)</f>
        <v>37092.995781214078</v>
      </c>
      <c r="O14" s="132">
        <f>N14*(1+'Data to enter'!M6)</f>
        <v>38205.785654650499</v>
      </c>
      <c r="P14" s="132">
        <f>O14*(1+'Data to enter'!N6)</f>
        <v>39351.959224290018</v>
      </c>
    </row>
    <row r="15" spans="1:18" ht="15" x14ac:dyDescent="0.25">
      <c r="A15" s="57"/>
      <c r="B15" s="57"/>
      <c r="C15" s="57" t="s">
        <v>26</v>
      </c>
      <c r="D15" s="135">
        <f>'p4 one year repeat p2'!D17</f>
        <v>580</v>
      </c>
      <c r="E15" s="57"/>
      <c r="F15" s="57"/>
      <c r="G15" s="57"/>
    </row>
    <row r="16" spans="1:18" ht="15" x14ac:dyDescent="0.25">
      <c r="A16" s="57"/>
      <c r="B16" s="57"/>
      <c r="C16" s="57"/>
      <c r="D16" s="57" t="s">
        <v>11</v>
      </c>
      <c r="E16" s="57"/>
      <c r="F16" s="57"/>
      <c r="G16" s="62">
        <f>G14/G6</f>
        <v>3.8666666666666669E-2</v>
      </c>
    </row>
    <row r="17" spans="1:18" ht="6.75" customHeight="1" x14ac:dyDescent="0.25">
      <c r="A17" s="57"/>
      <c r="B17" s="57"/>
      <c r="C17" s="57"/>
      <c r="D17" s="57"/>
      <c r="E17" s="57"/>
      <c r="F17" s="57"/>
      <c r="G17" s="57"/>
    </row>
    <row r="18" spans="1:18" ht="24" customHeight="1" x14ac:dyDescent="0.3">
      <c r="A18" s="57"/>
      <c r="B18" s="64" t="s">
        <v>1</v>
      </c>
      <c r="C18" s="65"/>
      <c r="D18" s="57"/>
      <c r="E18" s="57"/>
      <c r="F18" s="57"/>
      <c r="G18" s="57"/>
    </row>
    <row r="19" spans="1:18" ht="15" x14ac:dyDescent="0.25">
      <c r="A19" s="57"/>
      <c r="B19" s="57"/>
      <c r="C19" s="57"/>
      <c r="D19" s="57"/>
      <c r="E19" s="57"/>
      <c r="F19" s="57"/>
      <c r="G19" s="57"/>
    </row>
    <row r="20" spans="1:18" ht="15" x14ac:dyDescent="0.25">
      <c r="A20" s="57"/>
      <c r="B20" s="57" t="s">
        <v>7</v>
      </c>
      <c r="C20" s="57"/>
      <c r="D20" s="57"/>
      <c r="E20" s="136"/>
      <c r="F20" s="136"/>
      <c r="G20" s="137">
        <f>'p4 one year repeat p2'!G22</f>
        <v>1700</v>
      </c>
      <c r="H20" s="132">
        <f>G20*(1+'Data to enter'!F8)</f>
        <v>1751</v>
      </c>
      <c r="I20" s="132">
        <f>H20*(1+'Data to enter'!G8)</f>
        <v>1803.53</v>
      </c>
      <c r="J20" s="132">
        <f>I20*(1+'Data to enter'!H8)</f>
        <v>1857.6359</v>
      </c>
      <c r="K20" s="132">
        <f>J20*(1+'Data to enter'!I8)</f>
        <v>1913.364977</v>
      </c>
      <c r="L20" s="132">
        <f>K20*(1+'Data to enter'!J8)</f>
        <v>1970.7659263099999</v>
      </c>
      <c r="M20" s="132">
        <f>L20*(1+'Data to enter'!K8)</f>
        <v>2029.8889040992999</v>
      </c>
      <c r="N20" s="132">
        <f>M20*(1+'Data to enter'!L8)</f>
        <v>2090.785571222279</v>
      </c>
      <c r="O20" s="132">
        <f>N20*(1+'Data to enter'!M8)</f>
        <v>2153.5091383589474</v>
      </c>
      <c r="P20" s="132">
        <f>O20*(1+'Data to enter'!N8)</f>
        <v>2218.1144125097157</v>
      </c>
    </row>
    <row r="21" spans="1:18" ht="15" x14ac:dyDescent="0.25">
      <c r="A21" s="57"/>
      <c r="B21" s="57" t="s">
        <v>8</v>
      </c>
      <c r="C21" s="57"/>
      <c r="D21" s="57"/>
      <c r="E21" s="136"/>
      <c r="F21" s="136"/>
      <c r="G21" s="137">
        <f>'p4 one year repeat p2'!G23</f>
        <v>50</v>
      </c>
      <c r="H21" s="132">
        <f>G21*(1+'Data to enter'!F8)</f>
        <v>51.5</v>
      </c>
      <c r="I21" s="132">
        <f>H21*(1+'Data to enter'!G8)</f>
        <v>53.045000000000002</v>
      </c>
      <c r="J21" s="132">
        <f>I21*(1+'Data to enter'!H8)</f>
        <v>54.63635</v>
      </c>
      <c r="K21" s="132">
        <f>J21*(1+'Data to enter'!I8)</f>
        <v>56.275440500000002</v>
      </c>
      <c r="L21" s="132">
        <f>K21*(1+'Data to enter'!J8)</f>
        <v>57.963703715000001</v>
      </c>
      <c r="M21" s="132">
        <f>L21*(1+'Data to enter'!K8)</f>
        <v>59.702614826450002</v>
      </c>
      <c r="N21" s="132">
        <f>M21*(1+'Data to enter'!L8)</f>
        <v>61.493693271243501</v>
      </c>
      <c r="O21" s="132">
        <f>N21*(1+'Data to enter'!M8)</f>
        <v>63.338504069380811</v>
      </c>
      <c r="P21" s="132">
        <f>O21*(1+'Data to enter'!N8)</f>
        <v>65.238659191462233</v>
      </c>
    </row>
    <row r="22" spans="1:18" ht="15" x14ac:dyDescent="0.25">
      <c r="A22" s="57"/>
      <c r="B22" s="57" t="s">
        <v>14</v>
      </c>
      <c r="C22" s="57"/>
      <c r="D22" s="57"/>
      <c r="E22" s="136"/>
      <c r="F22" s="136"/>
      <c r="G22" s="137">
        <f>'p4 one year repeat p2'!G24</f>
        <v>0</v>
      </c>
      <c r="H22" s="132">
        <f>G22*(1+'Data to enter'!F8)</f>
        <v>0</v>
      </c>
      <c r="I22" s="132">
        <f>H22*(1+'Data to enter'!G8)</f>
        <v>0</v>
      </c>
      <c r="J22" s="132">
        <f>I22*(1+'Data to enter'!H8)</f>
        <v>0</v>
      </c>
      <c r="K22" s="132">
        <f>J22*(1+'Data to enter'!I8)</f>
        <v>0</v>
      </c>
      <c r="L22" s="132">
        <f>K22*(1+'Data to enter'!J8)</f>
        <v>0</v>
      </c>
      <c r="M22" s="132">
        <f>L22*(1+'Data to enter'!K8)</f>
        <v>0</v>
      </c>
      <c r="N22" s="132">
        <f>M22*(1+'Data to enter'!L8)</f>
        <v>0</v>
      </c>
      <c r="O22" s="132">
        <f>N22*(1+'Data to enter'!M8)</f>
        <v>0</v>
      </c>
      <c r="P22" s="132">
        <f>O22*(1+'Data to enter'!N8)</f>
        <v>0</v>
      </c>
    </row>
    <row r="23" spans="1:18" ht="15" x14ac:dyDescent="0.25">
      <c r="A23" s="57"/>
      <c r="B23" s="57" t="s">
        <v>2</v>
      </c>
      <c r="C23" s="57"/>
      <c r="D23" s="57"/>
      <c r="E23" s="136"/>
      <c r="F23" s="136"/>
      <c r="G23" s="137">
        <f>'p4 one year repeat p2'!G25</f>
        <v>1200</v>
      </c>
      <c r="H23" s="132">
        <f>G23*(1+'Data to enter'!F8)</f>
        <v>1236</v>
      </c>
      <c r="I23" s="132">
        <f>H23*(1+'Data to enter'!G8)</f>
        <v>1273.08</v>
      </c>
      <c r="J23" s="132">
        <f>I23*(1+'Data to enter'!H8)</f>
        <v>1311.2724000000001</v>
      </c>
      <c r="K23" s="132">
        <f>J23*(1+'Data to enter'!I8)</f>
        <v>1350.610572</v>
      </c>
      <c r="L23" s="132">
        <f>K23*(1+'Data to enter'!J8)</f>
        <v>1391.12888916</v>
      </c>
      <c r="M23" s="132">
        <f>L23*(1+'Data to enter'!K8)</f>
        <v>1432.8627558348001</v>
      </c>
      <c r="N23" s="132">
        <f>M23*(1+'Data to enter'!L8)</f>
        <v>1475.848638509844</v>
      </c>
      <c r="O23" s="132">
        <f>N23*(1+'Data to enter'!M8)</f>
        <v>1520.1240976651393</v>
      </c>
      <c r="P23" s="132">
        <f>O23*(1+'Data to enter'!N8)</f>
        <v>1565.7278205950936</v>
      </c>
    </row>
    <row r="24" spans="1:18" ht="15" x14ac:dyDescent="0.25">
      <c r="A24" s="57"/>
      <c r="B24" s="57" t="s">
        <v>28</v>
      </c>
      <c r="C24" s="57"/>
      <c r="D24" s="57" t="s">
        <v>29</v>
      </c>
      <c r="E24" s="138"/>
      <c r="F24" s="136"/>
      <c r="G24" s="111">
        <f>(G10/2*'Data to enter'!F10)+('p4 10 year'!G10/2*'Data to enter'!F11)</f>
        <v>15342.624</v>
      </c>
      <c r="H24" s="111">
        <f>(H10/2*'Data to enter'!G10)+('p4 10 year'!H10/2*'Data to enter'!G11)</f>
        <v>15662.262000000001</v>
      </c>
      <c r="I24" s="111">
        <f>(I10/2*'Data to enter'!H10)+('p4 10 year'!I10/2*'Data to enter'!H11)</f>
        <v>15952.842000000001</v>
      </c>
      <c r="J24" s="111">
        <f>(J10/2*'Data to enter'!I10)+('p4 10 year'!J10/2*'Data to enter'!I11)</f>
        <v>16679.292000000001</v>
      </c>
      <c r="K24" s="139">
        <f>(K10/2*'Data to enter'!J10)+('p4 10 year'!K10/2*'Data to enter'!J11)</f>
        <v>17405.741999999998</v>
      </c>
      <c r="L24" s="139">
        <f>(L10/2*'Data to enter'!K10)+('p4 10 year'!L10/2*'Data to enter'!K11)</f>
        <v>21067.050000000003</v>
      </c>
      <c r="M24" s="111">
        <f>(M10/2*'Data to enter'!L10)+('p4 10 year'!M10/2*'Data to enter'!L11)</f>
        <v>21793.5</v>
      </c>
      <c r="N24" s="111">
        <f>(N10/2*'Data to enter'!M10)+('p4 10 year'!N10/2*'Data to enter'!M11)</f>
        <v>22519.95</v>
      </c>
      <c r="O24" s="111">
        <f>(O10/2*'Data to enter'!N10)+('p4 10 year'!O10/2*'Data to enter'!N11)</f>
        <v>23246.400000000001</v>
      </c>
      <c r="P24" s="111">
        <f>(P10/2*'Data to enter'!O10)+('p4 10 year'!P10/2*'Data to enter'!O11)</f>
        <v>23972.850000000002</v>
      </c>
    </row>
    <row r="25" spans="1:18" ht="15" x14ac:dyDescent="0.25">
      <c r="A25" s="57"/>
      <c r="B25" s="57" t="s">
        <v>95</v>
      </c>
      <c r="C25" s="57"/>
      <c r="D25" s="57"/>
      <c r="E25" s="136"/>
      <c r="F25" s="136"/>
      <c r="G25" s="137">
        <f>'p4 one year repeat p2'!G27</f>
        <v>3119.72</v>
      </c>
      <c r="H25" s="111">
        <f>G25*(1+'Data to enter'!F8)</f>
        <v>3213.3116</v>
      </c>
      <c r="I25" s="111">
        <f>H25*(1+'Data to enter'!G8)</f>
        <v>3309.7109479999999</v>
      </c>
      <c r="J25" s="111">
        <f>I25*(1+'Data to enter'!H8)</f>
        <v>3409.0022764400001</v>
      </c>
      <c r="K25" s="111">
        <f>J25*(1+'Data to enter'!I8)</f>
        <v>3511.2723447332</v>
      </c>
      <c r="L25" s="111">
        <f>K25*(1+'Data to enter'!J8)</f>
        <v>3616.610515075196</v>
      </c>
      <c r="M25" s="111">
        <f>L25*(1+'Data to enter'!K8)</f>
        <v>3725.108830527452</v>
      </c>
      <c r="N25" s="111">
        <f>M25*(1+'Data to enter'!L8)</f>
        <v>3836.8620954432758</v>
      </c>
      <c r="O25" s="111">
        <f>N25*(1+'Data to enter'!M8)</f>
        <v>3951.967958306574</v>
      </c>
      <c r="P25" s="111">
        <f>O25*(1+'Data to enter'!N8)</f>
        <v>4070.5269970557715</v>
      </c>
    </row>
    <row r="26" spans="1:18" ht="15" x14ac:dyDescent="0.25">
      <c r="A26" s="57"/>
      <c r="B26" s="57" t="s">
        <v>3</v>
      </c>
      <c r="C26" s="57"/>
      <c r="D26" s="57"/>
      <c r="E26" s="136"/>
      <c r="F26" s="136"/>
      <c r="G26" s="137">
        <f>'p4 one year repeat p2'!G28</f>
        <v>3000</v>
      </c>
      <c r="H26" s="111">
        <f>G26*(1+'Data to enter'!F8)</f>
        <v>3090</v>
      </c>
      <c r="I26" s="111">
        <f>H26*(1+'Data to enter'!G8)</f>
        <v>3182.7000000000003</v>
      </c>
      <c r="J26" s="111">
        <f>I26*(1+'Data to enter'!H8)</f>
        <v>3278.1810000000005</v>
      </c>
      <c r="K26" s="111">
        <f>J26*(1+'Data to enter'!I8)</f>
        <v>3376.5264300000008</v>
      </c>
      <c r="L26" s="111">
        <f>K26*(1+'Data to enter'!J8)</f>
        <v>3477.8222229000007</v>
      </c>
      <c r="M26" s="111">
        <f>L26*(1+'Data to enter'!K8)</f>
        <v>3582.1568895870009</v>
      </c>
      <c r="N26" s="111">
        <f>M26*(1+'Data to enter'!L8)</f>
        <v>3689.621596274611</v>
      </c>
      <c r="O26" s="111">
        <f>N26*(1+'Data to enter'!M8)</f>
        <v>3800.3102441628494</v>
      </c>
      <c r="P26" s="111">
        <f>O26*(1+'Data to enter'!N8)</f>
        <v>3914.3195514877348</v>
      </c>
    </row>
    <row r="27" spans="1:18" ht="15" x14ac:dyDescent="0.25">
      <c r="A27" s="57"/>
      <c r="B27" s="57" t="s">
        <v>6</v>
      </c>
      <c r="C27" s="57"/>
      <c r="D27" s="57"/>
      <c r="E27" s="136"/>
      <c r="F27" s="136"/>
      <c r="G27" s="137">
        <f>'p4 one year repeat p2'!G29</f>
        <v>500</v>
      </c>
      <c r="H27" s="111">
        <f>G27*(1+'Data to enter'!F8)</f>
        <v>515</v>
      </c>
      <c r="I27" s="111">
        <f>H27*(1+'Data to enter'!G8)</f>
        <v>530.45000000000005</v>
      </c>
      <c r="J27" s="111">
        <f>I27*(1+'Data to enter'!H8)</f>
        <v>546.36350000000004</v>
      </c>
      <c r="K27" s="111">
        <f>J27*(1+'Data to enter'!I8)</f>
        <v>562.75440500000002</v>
      </c>
      <c r="L27" s="111">
        <f>K27*(1+'Data to enter'!J8)</f>
        <v>579.63703715000008</v>
      </c>
      <c r="M27" s="111">
        <f>L27*(1+'Data to enter'!K8)</f>
        <v>597.02614826450008</v>
      </c>
      <c r="N27" s="111">
        <f>M27*(1+'Data to enter'!L8)</f>
        <v>614.93693271243512</v>
      </c>
      <c r="O27" s="111">
        <f>N27*(1+'Data to enter'!M8)</f>
        <v>633.38504069380815</v>
      </c>
      <c r="P27" s="111">
        <f>O27*(1+'Data to enter'!N8)</f>
        <v>652.38659191462239</v>
      </c>
    </row>
    <row r="28" spans="1:18" ht="15" x14ac:dyDescent="0.25">
      <c r="A28" s="57"/>
      <c r="B28" s="57" t="s">
        <v>22</v>
      </c>
      <c r="C28" s="57"/>
      <c r="D28" s="57"/>
      <c r="E28" s="136"/>
      <c r="F28" s="136"/>
      <c r="G28" s="137">
        <f>'p4 one year repeat p2'!G30</f>
        <v>100</v>
      </c>
      <c r="H28" s="111">
        <f>G28*(1+'Data to enter'!F8)</f>
        <v>103</v>
      </c>
      <c r="I28" s="111">
        <f>H28*(1+'Data to enter'!G8)</f>
        <v>106.09</v>
      </c>
      <c r="J28" s="111">
        <f>I28*(1+'Data to enter'!H8)</f>
        <v>109.2727</v>
      </c>
      <c r="K28" s="111">
        <f>J28*(1+'Data to enter'!I8)</f>
        <v>112.550881</v>
      </c>
      <c r="L28" s="111">
        <f>K28*(1+'Data to enter'!J8)</f>
        <v>115.92740743</v>
      </c>
      <c r="M28" s="111">
        <f>L28*(1+'Data to enter'!K8)</f>
        <v>119.4052296529</v>
      </c>
      <c r="N28" s="111">
        <f>M28*(1+'Data to enter'!L8)</f>
        <v>122.987386542487</v>
      </c>
      <c r="O28" s="111">
        <f>N28*(1+'Data to enter'!M8)</f>
        <v>126.67700813876162</v>
      </c>
      <c r="P28" s="111">
        <f>O28*(1+'Data to enter'!N8)</f>
        <v>130.47731838292447</v>
      </c>
    </row>
    <row r="29" spans="1:18" ht="15" x14ac:dyDescent="0.25">
      <c r="A29" s="57"/>
      <c r="B29" s="57" t="s">
        <v>23</v>
      </c>
      <c r="C29" s="57"/>
      <c r="D29" s="57"/>
      <c r="E29" s="136"/>
      <c r="F29" s="136"/>
      <c r="G29" s="137">
        <f>'p4 one year repeat p2'!G31</f>
        <v>300</v>
      </c>
      <c r="H29" s="111">
        <f>G29*(1+'Data to enter'!F8)</f>
        <v>309</v>
      </c>
      <c r="I29" s="111">
        <f>H29*(1+'Data to enter'!G8)</f>
        <v>318.27</v>
      </c>
      <c r="J29" s="111">
        <f>I29*(1+'Data to enter'!H8)</f>
        <v>327.81810000000002</v>
      </c>
      <c r="K29" s="111">
        <f>J29*(1+'Data to enter'!I8)</f>
        <v>337.65264300000001</v>
      </c>
      <c r="L29" s="111">
        <f>K29*(1+'Data to enter'!J8)</f>
        <v>347.78222228999999</v>
      </c>
      <c r="M29" s="111">
        <f>L29*(1+'Data to enter'!K8)</f>
        <v>358.21568895870001</v>
      </c>
      <c r="N29" s="111">
        <f>M29*(1+'Data to enter'!L8)</f>
        <v>368.96215962746101</v>
      </c>
      <c r="O29" s="111">
        <f>N29*(1+'Data to enter'!M8)</f>
        <v>380.03102441628482</v>
      </c>
      <c r="P29" s="111">
        <f>O29*(1+'Data to enter'!N8)</f>
        <v>391.4319551487734</v>
      </c>
    </row>
    <row r="30" spans="1:18" ht="15" x14ac:dyDescent="0.25">
      <c r="A30" s="57"/>
      <c r="B30" s="57" t="s">
        <v>5</v>
      </c>
      <c r="C30" s="57"/>
      <c r="D30" s="57"/>
      <c r="E30" s="136"/>
      <c r="F30" s="136"/>
      <c r="G30" s="137">
        <f>'p4 one year repeat p2'!G32</f>
        <v>86</v>
      </c>
      <c r="H30" s="111">
        <f>G30*(1+'Data to enter'!F8)</f>
        <v>88.58</v>
      </c>
      <c r="I30" s="111">
        <f>H30*(1+'Data to enter'!G8)</f>
        <v>91.237399999999994</v>
      </c>
      <c r="J30" s="111">
        <f>I30*(1+'Data to enter'!H8)</f>
        <v>93.974521999999993</v>
      </c>
      <c r="K30" s="111">
        <f>J30*(1+'Data to enter'!I8)</f>
        <v>96.793757659999997</v>
      </c>
      <c r="L30" s="111">
        <f>K30*(1+'Data to enter'!J8)</f>
        <v>99.697570389800006</v>
      </c>
      <c r="M30" s="111">
        <f>L30*(1+'Data to enter'!K8)</f>
        <v>102.68849750149401</v>
      </c>
      <c r="N30" s="111">
        <f>M30*(1+'Data to enter'!L8)</f>
        <v>105.76915242653884</v>
      </c>
      <c r="O30" s="111">
        <f>N30*(1+'Data to enter'!M8)</f>
        <v>108.94222699933501</v>
      </c>
      <c r="P30" s="111">
        <f>O30*(1+'Data to enter'!N8)</f>
        <v>112.21049380931505</v>
      </c>
    </row>
    <row r="31" spans="1:18" ht="15" x14ac:dyDescent="0.25">
      <c r="A31" s="57"/>
      <c r="B31" s="57"/>
      <c r="C31" s="57"/>
      <c r="D31" s="57"/>
      <c r="E31" s="57"/>
      <c r="F31" s="57"/>
      <c r="G31" s="57"/>
    </row>
    <row r="32" spans="1:18" ht="17.399999999999999" x14ac:dyDescent="0.3">
      <c r="A32" s="57"/>
      <c r="B32" s="64" t="s">
        <v>4</v>
      </c>
      <c r="C32" s="64"/>
      <c r="D32" s="57"/>
      <c r="E32" s="57"/>
      <c r="F32" s="57"/>
      <c r="G32" s="140">
        <f>SUM(G20:G30)</f>
        <v>25398.344000000001</v>
      </c>
      <c r="H32" s="140">
        <f t="shared" ref="H32:P32" si="1">SUM(H20:H30)</f>
        <v>26019.653600000005</v>
      </c>
      <c r="I32" s="140">
        <f t="shared" si="1"/>
        <v>26620.955348000003</v>
      </c>
      <c r="J32" s="140">
        <f t="shared" si="1"/>
        <v>27667.448748440005</v>
      </c>
      <c r="K32" s="140">
        <f t="shared" si="1"/>
        <v>28723.543450893201</v>
      </c>
      <c r="L32" s="140">
        <f t="shared" si="1"/>
        <v>32724.385494420003</v>
      </c>
      <c r="M32" s="140">
        <f t="shared" si="1"/>
        <v>33800.555559252593</v>
      </c>
      <c r="N32" s="140">
        <f t="shared" si="1"/>
        <v>34887.217226030181</v>
      </c>
      <c r="O32" s="140">
        <f t="shared" si="1"/>
        <v>35984.68524281108</v>
      </c>
      <c r="P32" s="140">
        <f t="shared" si="1"/>
        <v>37093.283800095414</v>
      </c>
      <c r="Q32" s="95"/>
      <c r="R32" s="95"/>
    </row>
    <row r="33" spans="1:18" ht="15" x14ac:dyDescent="0.25">
      <c r="A33" s="57"/>
      <c r="B33" s="57"/>
      <c r="C33" s="57"/>
      <c r="D33" s="57"/>
      <c r="E33" s="57"/>
      <c r="F33" s="57"/>
      <c r="G33" s="111"/>
      <c r="H33" s="95"/>
      <c r="I33" s="95"/>
      <c r="J33" s="95"/>
      <c r="K33" s="95"/>
      <c r="L33" s="95"/>
      <c r="M33" s="95"/>
      <c r="N33" s="95"/>
      <c r="O33" s="95"/>
      <c r="P33" s="95"/>
      <c r="Q33" s="95"/>
      <c r="R33" s="95"/>
    </row>
    <row r="34" spans="1:18" ht="15" x14ac:dyDescent="0.25">
      <c r="A34" s="141"/>
      <c r="B34" s="142" t="s">
        <v>10</v>
      </c>
      <c r="C34" s="142"/>
      <c r="D34" s="142"/>
      <c r="E34" s="141"/>
      <c r="F34" s="141"/>
      <c r="G34" s="143">
        <f>G14-G32</f>
        <v>4761.655999999999</v>
      </c>
      <c r="H34" s="143">
        <f t="shared" ref="H34:P34" si="2">H14-H32</f>
        <v>5045.1463999999942</v>
      </c>
      <c r="I34" s="143">
        <f t="shared" si="2"/>
        <v>5375.7886519999956</v>
      </c>
      <c r="J34" s="143">
        <f t="shared" si="2"/>
        <v>5289.1975715599947</v>
      </c>
      <c r="K34" s="143">
        <f t="shared" si="2"/>
        <v>5221.8022587067971</v>
      </c>
      <c r="L34" s="143">
        <f t="shared" si="2"/>
        <v>2239.3205864679949</v>
      </c>
      <c r="M34" s="143">
        <f t="shared" si="2"/>
        <v>2212.0617040620491</v>
      </c>
      <c r="N34" s="143">
        <f t="shared" si="2"/>
        <v>2205.778555183897</v>
      </c>
      <c r="O34" s="143">
        <f t="shared" si="2"/>
        <v>2221.1004118394194</v>
      </c>
      <c r="P34" s="143">
        <f t="shared" si="2"/>
        <v>2258.6754241946037</v>
      </c>
      <c r="Q34" s="95"/>
      <c r="R34" s="95"/>
    </row>
    <row r="35" spans="1:18" ht="15" x14ac:dyDescent="0.25">
      <c r="A35" s="57"/>
      <c r="B35" s="57"/>
      <c r="C35" s="57"/>
      <c r="D35" s="57"/>
      <c r="E35" s="57"/>
      <c r="F35" s="57"/>
      <c r="G35" s="111"/>
      <c r="H35" s="95"/>
      <c r="I35" s="95"/>
      <c r="J35" s="95"/>
      <c r="K35" s="95"/>
      <c r="L35" s="95"/>
      <c r="M35" s="95"/>
      <c r="N35" s="95"/>
      <c r="O35" s="95"/>
      <c r="P35" s="95"/>
      <c r="Q35" s="95"/>
      <c r="R35" s="95"/>
    </row>
    <row r="36" spans="1:18" ht="15" x14ac:dyDescent="0.25">
      <c r="A36" s="57"/>
      <c r="B36" s="60" t="s">
        <v>12</v>
      </c>
      <c r="C36" s="60"/>
      <c r="D36" s="57"/>
      <c r="E36" s="57" t="s">
        <v>15</v>
      </c>
      <c r="F36" s="57"/>
      <c r="G36" s="111"/>
      <c r="H36" s="95"/>
      <c r="I36" s="95"/>
      <c r="J36" s="95"/>
      <c r="K36" s="95"/>
      <c r="L36" s="95"/>
      <c r="M36" s="95"/>
      <c r="N36" s="95"/>
      <c r="O36" s="95"/>
      <c r="P36" s="95"/>
      <c r="Q36" s="95"/>
      <c r="R36" s="95"/>
    </row>
    <row r="37" spans="1:18" ht="15" x14ac:dyDescent="0.25">
      <c r="A37" s="57"/>
      <c r="B37" s="57"/>
      <c r="C37" s="57"/>
      <c r="D37" s="57"/>
      <c r="E37" s="57" t="s">
        <v>16</v>
      </c>
      <c r="F37" s="57"/>
      <c r="G37" s="144">
        <f>'p4 one year repeat p2'!H39</f>
        <v>6000</v>
      </c>
      <c r="H37" s="144">
        <f>G37*0.75</f>
        <v>4500</v>
      </c>
      <c r="I37" s="144">
        <f t="shared" ref="I37:P37" si="3">H37*0.75</f>
        <v>3375</v>
      </c>
      <c r="J37" s="144">
        <f t="shared" si="3"/>
        <v>2531.25</v>
      </c>
      <c r="K37" s="144">
        <f t="shared" si="3"/>
        <v>1898.4375</v>
      </c>
      <c r="L37" s="144">
        <f t="shared" si="3"/>
        <v>1423.828125</v>
      </c>
      <c r="M37" s="144">
        <f t="shared" si="3"/>
        <v>1067.87109375</v>
      </c>
      <c r="N37" s="144">
        <f t="shared" si="3"/>
        <v>800.9033203125</v>
      </c>
      <c r="O37" s="144">
        <f t="shared" si="3"/>
        <v>600.677490234375</v>
      </c>
      <c r="P37" s="144">
        <f t="shared" si="3"/>
        <v>450.50811767578125</v>
      </c>
      <c r="Q37" s="95"/>
      <c r="R37" s="95"/>
    </row>
    <row r="38" spans="1:18" ht="15" x14ac:dyDescent="0.25">
      <c r="A38" s="57"/>
      <c r="B38" s="57"/>
      <c r="C38" s="57"/>
      <c r="D38" s="57"/>
      <c r="E38" s="57"/>
      <c r="F38" s="57"/>
      <c r="G38" s="111"/>
      <c r="H38" s="95"/>
      <c r="I38" s="95"/>
      <c r="J38" s="95"/>
      <c r="K38" s="95"/>
      <c r="L38" s="95"/>
      <c r="M38" s="95"/>
      <c r="N38" s="95"/>
      <c r="O38" s="95"/>
      <c r="P38" s="95"/>
      <c r="Q38" s="95"/>
      <c r="R38" s="95"/>
    </row>
    <row r="39" spans="1:18" ht="15" x14ac:dyDescent="0.25">
      <c r="A39" s="57"/>
      <c r="B39" s="57"/>
      <c r="C39" s="57"/>
      <c r="D39" s="57"/>
      <c r="E39" s="57"/>
      <c r="F39" s="57"/>
      <c r="G39" s="111"/>
      <c r="H39" s="95"/>
      <c r="I39" s="95"/>
      <c r="J39" s="95"/>
      <c r="K39" s="95"/>
      <c r="L39" s="95"/>
      <c r="M39" s="95"/>
      <c r="N39" s="95"/>
      <c r="O39" s="95"/>
      <c r="P39" s="95"/>
      <c r="Q39" s="95"/>
      <c r="R39" s="95"/>
    </row>
    <row r="40" spans="1:18" ht="15" x14ac:dyDescent="0.25">
      <c r="A40" s="57"/>
      <c r="B40" s="60" t="s">
        <v>13</v>
      </c>
      <c r="C40" s="60"/>
      <c r="D40" s="60"/>
      <c r="E40" s="60"/>
      <c r="F40" s="60"/>
      <c r="G40" s="66">
        <f>G34-G37</f>
        <v>-1238.344000000001</v>
      </c>
      <c r="H40" s="66">
        <f t="shared" ref="H40:P40" si="4">H34-H37</f>
        <v>545.14639999999417</v>
      </c>
      <c r="I40" s="66">
        <f t="shared" si="4"/>
        <v>2000.7886519999956</v>
      </c>
      <c r="J40" s="66">
        <f t="shared" si="4"/>
        <v>2757.9475715599947</v>
      </c>
      <c r="K40" s="66">
        <f t="shared" si="4"/>
        <v>3323.3647587067971</v>
      </c>
      <c r="L40" s="66">
        <f t="shared" si="4"/>
        <v>815.49246146799487</v>
      </c>
      <c r="M40" s="66">
        <f t="shared" si="4"/>
        <v>1144.1906103120491</v>
      </c>
      <c r="N40" s="66">
        <f t="shared" si="4"/>
        <v>1404.875234871397</v>
      </c>
      <c r="O40" s="66">
        <f t="shared" si="4"/>
        <v>1620.4229216050444</v>
      </c>
      <c r="P40" s="66">
        <f t="shared" si="4"/>
        <v>1808.1673065188224</v>
      </c>
      <c r="Q40" s="95"/>
      <c r="R40" s="95"/>
    </row>
    <row r="41" spans="1:18" ht="15" x14ac:dyDescent="0.25">
      <c r="A41" s="57"/>
      <c r="B41" s="60"/>
      <c r="C41" s="60"/>
      <c r="D41" s="60"/>
      <c r="E41" s="60"/>
      <c r="F41" s="60"/>
      <c r="G41" s="66"/>
      <c r="H41" s="95"/>
      <c r="I41" s="95"/>
      <c r="J41" s="95"/>
      <c r="K41" s="95"/>
      <c r="L41" s="95"/>
      <c r="M41" s="95"/>
      <c r="N41" s="95"/>
      <c r="O41" s="95"/>
      <c r="P41" s="95"/>
      <c r="Q41" s="95"/>
      <c r="R41" s="95"/>
    </row>
    <row r="42" spans="1:18" ht="17.399999999999999" x14ac:dyDescent="0.3">
      <c r="A42" s="57"/>
      <c r="B42" s="70" t="s">
        <v>30</v>
      </c>
      <c r="C42" s="60"/>
      <c r="D42" s="60"/>
      <c r="E42" s="138"/>
      <c r="F42" s="60"/>
      <c r="G42" s="66">
        <f>IF(G40&lt;0,0,-(G40*$G$43*$E$43)+-(G40*$G$44*$E$44))</f>
        <v>0</v>
      </c>
      <c r="H42" s="66">
        <f>IF(H40&lt;0,0,-(H40*$G$43*$E$43)+-(H40*$G$44*$E$44))</f>
        <v>-179.05333507999808</v>
      </c>
      <c r="I42" s="66">
        <f t="shared" ref="I42:P42" si="5">IF(I40&lt;0,0,-(I40*$G$43*$E$43)+-(I40*$G$44*$E$44))</f>
        <v>-657.15903274939865</v>
      </c>
      <c r="J42" s="66">
        <f t="shared" si="5"/>
        <v>-905.84787987888024</v>
      </c>
      <c r="K42" s="66">
        <f t="shared" si="5"/>
        <v>-1091.5591549972476</v>
      </c>
      <c r="L42" s="66">
        <f t="shared" si="5"/>
        <v>-267.8484989691629</v>
      </c>
      <c r="M42" s="66">
        <f t="shared" si="5"/>
        <v>-375.80940595699252</v>
      </c>
      <c r="N42" s="66">
        <f t="shared" si="5"/>
        <v>-461.43127089351032</v>
      </c>
      <c r="O42" s="66">
        <f t="shared" si="5"/>
        <v>-532.22790860117686</v>
      </c>
      <c r="P42" s="66">
        <f t="shared" si="5"/>
        <v>-593.89255182610725</v>
      </c>
      <c r="Q42" s="95"/>
      <c r="R42" s="95">
        <f>SUM(H42:P42)</f>
        <v>-5064.8290389524745</v>
      </c>
    </row>
    <row r="43" spans="1:18" ht="15" x14ac:dyDescent="0.25">
      <c r="A43" s="57"/>
      <c r="B43" s="60"/>
      <c r="C43" s="60" t="s">
        <v>32</v>
      </c>
      <c r="D43" s="60" t="s">
        <v>31</v>
      </c>
      <c r="E43" s="138">
        <f>'p4 one year repeat p2'!E45</f>
        <v>0.33</v>
      </c>
      <c r="F43" s="60"/>
      <c r="G43" s="145">
        <f>'p4 one year repeat p2'!G45</f>
        <v>0.99</v>
      </c>
      <c r="K43" s="146"/>
      <c r="L43" s="146"/>
      <c r="M43" s="146"/>
      <c r="N43" s="146"/>
    </row>
    <row r="44" spans="1:18" ht="15" x14ac:dyDescent="0.25">
      <c r="A44" s="57"/>
      <c r="B44" s="60"/>
      <c r="C44" s="60" t="s">
        <v>34</v>
      </c>
      <c r="D44" s="60"/>
      <c r="E44" s="138">
        <f>'p4 one year repeat p2'!E46</f>
        <v>0.17499999999999999</v>
      </c>
      <c r="F44" s="60"/>
      <c r="G44" s="145">
        <f>'p4 one year repeat p2'!G46</f>
        <v>0.01</v>
      </c>
    </row>
    <row r="45" spans="1:18" ht="15" x14ac:dyDescent="0.25">
      <c r="A45" s="57"/>
      <c r="B45" s="72"/>
      <c r="C45" s="72"/>
      <c r="D45" s="72"/>
      <c r="E45" s="72"/>
      <c r="F45" s="72"/>
      <c r="G45" s="72"/>
    </row>
    <row r="46" spans="1:18" ht="18" thickBot="1" x14ac:dyDescent="0.35">
      <c r="A46" s="57"/>
      <c r="B46" s="60" t="s">
        <v>36</v>
      </c>
      <c r="C46" s="72"/>
      <c r="D46" s="72"/>
      <c r="E46" s="72"/>
      <c r="F46" s="72"/>
      <c r="G46" s="147">
        <f>G34+G42</f>
        <v>4761.655999999999</v>
      </c>
      <c r="H46" s="147">
        <f t="shared" ref="H46:P46" si="6">H34+H42</f>
        <v>4866.0930649199963</v>
      </c>
      <c r="I46" s="147">
        <f t="shared" si="6"/>
        <v>4718.629619250597</v>
      </c>
      <c r="J46" s="147">
        <f t="shared" si="6"/>
        <v>4383.3496916811146</v>
      </c>
      <c r="K46" s="147">
        <f t="shared" si="6"/>
        <v>4130.2431037095494</v>
      </c>
      <c r="L46" s="147">
        <f t="shared" si="6"/>
        <v>1971.472087498832</v>
      </c>
      <c r="M46" s="147">
        <f t="shared" si="6"/>
        <v>1836.2522981050565</v>
      </c>
      <c r="N46" s="147">
        <f t="shared" si="6"/>
        <v>1744.3472842903866</v>
      </c>
      <c r="O46" s="147">
        <f t="shared" si="6"/>
        <v>1688.8725032382426</v>
      </c>
      <c r="P46" s="147">
        <f t="shared" si="6"/>
        <v>1664.7828723684966</v>
      </c>
    </row>
    <row r="47" spans="1:18" ht="15.6" thickTop="1" x14ac:dyDescent="0.25">
      <c r="A47" s="57"/>
      <c r="B47" s="57"/>
      <c r="C47" s="57"/>
      <c r="D47" s="57"/>
      <c r="E47" s="57"/>
      <c r="F47" s="57"/>
      <c r="G47" s="111"/>
    </row>
    <row r="48" spans="1:18" ht="15" x14ac:dyDescent="0.25">
      <c r="A48" s="57"/>
      <c r="B48" s="60" t="s">
        <v>17</v>
      </c>
      <c r="C48" s="57"/>
      <c r="D48" s="57"/>
      <c r="E48" s="57"/>
      <c r="F48" s="57"/>
      <c r="G48" s="66">
        <f>G46/52</f>
        <v>91.570307692307679</v>
      </c>
      <c r="H48" s="66">
        <f t="shared" ref="H48:P48" si="7">H46/52</f>
        <v>93.578712786923006</v>
      </c>
      <c r="I48" s="66">
        <f t="shared" si="7"/>
        <v>90.742877293280714</v>
      </c>
      <c r="J48" s="66">
        <f t="shared" si="7"/>
        <v>84.295186378482967</v>
      </c>
      <c r="K48" s="66">
        <f t="shared" si="7"/>
        <v>79.427751994414407</v>
      </c>
      <c r="L48" s="66">
        <f t="shared" si="7"/>
        <v>37.912924759592926</v>
      </c>
      <c r="M48" s="66">
        <f t="shared" si="7"/>
        <v>35.312544194328012</v>
      </c>
      <c r="N48" s="66">
        <f t="shared" si="7"/>
        <v>33.545140082507437</v>
      </c>
      <c r="O48" s="66">
        <f t="shared" si="7"/>
        <v>32.478317369966206</v>
      </c>
      <c r="P48" s="66">
        <f t="shared" si="7"/>
        <v>32.015055237855705</v>
      </c>
    </row>
    <row r="49" spans="1:18" ht="15" x14ac:dyDescent="0.25">
      <c r="A49" s="57"/>
      <c r="B49" s="57"/>
      <c r="C49" s="57"/>
      <c r="D49" s="57"/>
      <c r="E49" s="57"/>
      <c r="F49" s="57"/>
      <c r="G49" s="63"/>
    </row>
    <row r="50" spans="1:18" ht="15" x14ac:dyDescent="0.25">
      <c r="A50" s="57"/>
      <c r="B50" s="57"/>
      <c r="C50" s="57"/>
      <c r="D50" s="57"/>
      <c r="E50" s="57"/>
      <c r="F50" s="57"/>
      <c r="G50" s="62"/>
    </row>
    <row r="51" spans="1:18" ht="15" x14ac:dyDescent="0.25">
      <c r="A51" s="57"/>
      <c r="B51" s="57" t="s">
        <v>50</v>
      </c>
      <c r="C51" s="57"/>
      <c r="D51" s="57"/>
      <c r="E51" s="57"/>
      <c r="F51" s="57"/>
      <c r="G51" s="111">
        <f>G6-G10</f>
        <v>198840</v>
      </c>
      <c r="H51" s="111">
        <f t="shared" ref="H51:P51" si="8">H6-H10</f>
        <v>198840</v>
      </c>
      <c r="I51" s="111">
        <f t="shared" si="8"/>
        <v>198840</v>
      </c>
      <c r="J51" s="111">
        <f t="shared" si="8"/>
        <v>218339.99999999988</v>
      </c>
      <c r="K51" s="111">
        <f t="shared" si="8"/>
        <v>258314.99999999988</v>
      </c>
      <c r="L51" s="111">
        <f t="shared" si="8"/>
        <v>317078.24999999988</v>
      </c>
      <c r="M51" s="111">
        <f t="shared" si="8"/>
        <v>397919.69249999989</v>
      </c>
      <c r="N51" s="111">
        <f t="shared" si="8"/>
        <v>505618.45867499989</v>
      </c>
      <c r="O51" s="111">
        <f t="shared" si="8"/>
        <v>668635.22747624968</v>
      </c>
      <c r="P51" s="111">
        <f t="shared" si="8"/>
        <v>793614.75022387481</v>
      </c>
      <c r="R51" s="95">
        <f>P51-R8</f>
        <v>593614.75022387481</v>
      </c>
    </row>
    <row r="52" spans="1:18" ht="15" x14ac:dyDescent="0.25">
      <c r="A52" s="57"/>
      <c r="B52" s="57" t="s">
        <v>51</v>
      </c>
      <c r="C52" s="72"/>
      <c r="D52" s="72"/>
      <c r="E52" s="72"/>
      <c r="F52" s="57"/>
      <c r="G52" s="111">
        <f>G46</f>
        <v>4761.655999999999</v>
      </c>
      <c r="H52" s="111">
        <f>G52+H46</f>
        <v>9627.7490649199954</v>
      </c>
      <c r="I52" s="111">
        <f t="shared" ref="I52:P52" si="9">H52+I46</f>
        <v>14346.378684170591</v>
      </c>
      <c r="J52" s="111">
        <f t="shared" si="9"/>
        <v>18729.728375851708</v>
      </c>
      <c r="K52" s="111">
        <f t="shared" si="9"/>
        <v>22859.971479561256</v>
      </c>
      <c r="L52" s="111">
        <f t="shared" si="9"/>
        <v>24831.443567060087</v>
      </c>
      <c r="M52" s="111">
        <f t="shared" si="9"/>
        <v>26667.695865165144</v>
      </c>
      <c r="N52" s="111">
        <f t="shared" si="9"/>
        <v>28412.043149455531</v>
      </c>
      <c r="O52" s="111">
        <f t="shared" si="9"/>
        <v>30100.915652693773</v>
      </c>
      <c r="P52" s="111">
        <f t="shared" si="9"/>
        <v>31765.698525062271</v>
      </c>
    </row>
    <row r="53" spans="1:18" ht="14.25" customHeight="1" x14ac:dyDescent="0.25">
      <c r="A53" s="57"/>
      <c r="B53" s="57"/>
      <c r="C53" s="57"/>
      <c r="D53" s="57"/>
      <c r="E53" s="57"/>
      <c r="F53" s="57"/>
      <c r="G53" s="63"/>
    </row>
    <row r="54" spans="1:18" ht="15" hidden="1" x14ac:dyDescent="0.25">
      <c r="A54" s="57"/>
      <c r="B54" s="77"/>
      <c r="C54" s="77"/>
      <c r="D54" s="77"/>
      <c r="E54" s="77"/>
      <c r="F54" s="77"/>
      <c r="G54" s="78"/>
    </row>
    <row r="55" spans="1:18" hidden="1" x14ac:dyDescent="0.25">
      <c r="B55" s="79"/>
      <c r="C55" s="79"/>
      <c r="D55" s="79"/>
      <c r="E55" s="79"/>
      <c r="F55" s="79"/>
      <c r="G55" s="79"/>
    </row>
    <row r="56" spans="1:18" hidden="1" x14ac:dyDescent="0.25">
      <c r="A56" s="56"/>
      <c r="B56" s="80"/>
      <c r="C56" s="81"/>
      <c r="D56" s="80"/>
      <c r="E56" s="80"/>
      <c r="F56" s="80"/>
      <c r="G56" s="80"/>
    </row>
    <row r="57" spans="1:18" hidden="1" x14ac:dyDescent="0.25">
      <c r="A57" s="56"/>
      <c r="B57" s="56"/>
      <c r="C57" s="56"/>
      <c r="D57" s="56"/>
      <c r="E57" s="56"/>
      <c r="F57" s="56"/>
      <c r="G57" s="56"/>
    </row>
    <row r="58" spans="1:18" ht="29.4" x14ac:dyDescent="0.45">
      <c r="A58" s="56"/>
      <c r="B58" s="191"/>
      <c r="C58" s="191"/>
      <c r="D58" s="191"/>
      <c r="E58" s="191"/>
      <c r="F58" s="191"/>
      <c r="G58" s="191"/>
    </row>
    <row r="59" spans="1:18" ht="29.4" x14ac:dyDescent="0.45">
      <c r="A59" s="56"/>
      <c r="B59" s="148" t="s">
        <v>53</v>
      </c>
      <c r="C59" s="128"/>
      <c r="D59" s="128"/>
      <c r="E59" s="128"/>
      <c r="F59" s="128"/>
      <c r="G59" s="128"/>
    </row>
    <row r="60" spans="1:18" ht="29.4" x14ac:dyDescent="0.45">
      <c r="A60" s="56"/>
      <c r="B60" s="128"/>
      <c r="C60" s="128"/>
      <c r="D60" s="128"/>
      <c r="E60" s="128"/>
      <c r="F60" s="128"/>
      <c r="G60" s="128"/>
    </row>
    <row r="61" spans="1:18" ht="15" x14ac:dyDescent="0.25">
      <c r="A61" s="56"/>
      <c r="B61" s="149" t="s">
        <v>54</v>
      </c>
      <c r="C61" s="150"/>
      <c r="D61" s="150"/>
      <c r="E61" s="150"/>
      <c r="F61" s="150"/>
      <c r="G61" s="150"/>
    </row>
    <row r="62" spans="1:18" ht="15" x14ac:dyDescent="0.25">
      <c r="A62" s="56"/>
      <c r="B62" s="151"/>
      <c r="C62" s="151"/>
      <c r="D62" s="151"/>
      <c r="E62" s="151"/>
      <c r="F62" s="151"/>
      <c r="G62" s="151"/>
    </row>
    <row r="63" spans="1:18" ht="15" x14ac:dyDescent="0.25">
      <c r="A63" s="56"/>
      <c r="B63" s="57" t="s">
        <v>55</v>
      </c>
      <c r="C63" s="151"/>
      <c r="D63" s="151"/>
      <c r="E63" s="151"/>
      <c r="F63" s="151"/>
      <c r="G63" s="151"/>
    </row>
    <row r="64" spans="1:18" ht="15" x14ac:dyDescent="0.25">
      <c r="A64" s="57"/>
      <c r="B64" s="57"/>
      <c r="C64" s="57"/>
      <c r="D64" s="57"/>
      <c r="E64" s="57"/>
      <c r="F64" s="57"/>
      <c r="G64" s="57"/>
    </row>
    <row r="65" spans="1:7" ht="15" x14ac:dyDescent="0.25">
      <c r="A65" s="57"/>
      <c r="B65" s="57" t="s">
        <v>56</v>
      </c>
      <c r="C65" s="57"/>
      <c r="D65" s="57"/>
      <c r="E65" s="57"/>
      <c r="F65" s="57"/>
      <c r="G65" s="57"/>
    </row>
    <row r="66" spans="1:7" ht="15" x14ac:dyDescent="0.25">
      <c r="A66" s="57"/>
      <c r="B66" s="60"/>
      <c r="C66" s="57"/>
      <c r="D66" s="57"/>
      <c r="E66" s="57"/>
      <c r="F66" s="57"/>
      <c r="G66" s="57"/>
    </row>
    <row r="67" spans="1:7" ht="15" x14ac:dyDescent="0.25">
      <c r="A67" s="57"/>
      <c r="B67" s="57" t="s">
        <v>57</v>
      </c>
      <c r="C67" s="57"/>
      <c r="D67" s="57"/>
      <c r="E67" s="57"/>
      <c r="F67" s="57"/>
      <c r="G67" s="57"/>
    </row>
    <row r="68" spans="1:7" ht="15" x14ac:dyDescent="0.25">
      <c r="A68" s="57"/>
      <c r="B68" s="57"/>
      <c r="C68" s="57"/>
      <c r="D68" s="57"/>
      <c r="E68" s="57"/>
      <c r="F68" s="57"/>
      <c r="G68" s="57"/>
    </row>
    <row r="69" spans="1:7" ht="15" x14ac:dyDescent="0.25">
      <c r="A69" s="57"/>
      <c r="B69" s="57" t="s">
        <v>58</v>
      </c>
      <c r="C69" s="57"/>
      <c r="D69" s="57"/>
      <c r="E69" s="57"/>
      <c r="F69" s="57"/>
      <c r="G69" s="57"/>
    </row>
    <row r="70" spans="1:7" ht="15" x14ac:dyDescent="0.25">
      <c r="A70" s="57"/>
      <c r="B70" s="57"/>
      <c r="C70" s="57"/>
      <c r="D70" s="57"/>
      <c r="E70" s="57"/>
      <c r="F70" s="57"/>
      <c r="G70" s="57"/>
    </row>
    <row r="71" spans="1:7" ht="15" x14ac:dyDescent="0.25">
      <c r="A71" s="57"/>
      <c r="B71" s="57" t="s">
        <v>60</v>
      </c>
      <c r="C71" s="57"/>
      <c r="D71" s="57"/>
      <c r="E71" s="57"/>
      <c r="F71" s="57"/>
      <c r="G71" s="57" t="s">
        <v>88</v>
      </c>
    </row>
    <row r="72" spans="1:7" ht="15" x14ac:dyDescent="0.25">
      <c r="A72" s="57"/>
      <c r="B72" s="57"/>
      <c r="C72" s="57"/>
      <c r="D72" s="57"/>
      <c r="E72" s="57"/>
      <c r="F72" s="57"/>
      <c r="G72" s="57"/>
    </row>
    <row r="73" spans="1:7" ht="15" x14ac:dyDescent="0.25">
      <c r="A73" s="57"/>
      <c r="B73" s="57"/>
      <c r="C73" s="57"/>
      <c r="D73" s="57"/>
      <c r="E73" s="57"/>
      <c r="F73" s="57"/>
      <c r="G73" s="57"/>
    </row>
    <row r="74" spans="1:7" ht="15" x14ac:dyDescent="0.25">
      <c r="A74" s="57"/>
      <c r="B74" s="57"/>
      <c r="C74" s="57"/>
      <c r="D74" s="57"/>
      <c r="E74" s="57"/>
      <c r="F74" s="57"/>
      <c r="G74" s="57"/>
    </row>
    <row r="75" spans="1:7" ht="15" x14ac:dyDescent="0.25">
      <c r="A75" s="57"/>
      <c r="B75" s="57"/>
      <c r="C75" s="57"/>
      <c r="D75" s="57"/>
      <c r="E75" s="57"/>
      <c r="F75" s="57"/>
      <c r="G75" s="57"/>
    </row>
    <row r="76" spans="1:7" ht="15" x14ac:dyDescent="0.25">
      <c r="A76" s="57"/>
      <c r="B76" s="57"/>
      <c r="C76" s="57"/>
      <c r="D76" s="57"/>
      <c r="E76" s="57"/>
      <c r="F76" s="57"/>
      <c r="G76" s="57"/>
    </row>
    <row r="77" spans="1:7" ht="15" x14ac:dyDescent="0.25">
      <c r="A77" s="57"/>
      <c r="B77" s="57"/>
      <c r="C77" s="57"/>
      <c r="D77" s="57"/>
      <c r="E77" s="57"/>
      <c r="F77" s="57"/>
      <c r="G77" s="57"/>
    </row>
    <row r="78" spans="1:7" ht="15" x14ac:dyDescent="0.25">
      <c r="A78" s="57"/>
      <c r="B78" s="57"/>
      <c r="C78" s="57"/>
      <c r="D78" s="57"/>
      <c r="E78" s="57"/>
      <c r="F78" s="57"/>
      <c r="G78" s="57"/>
    </row>
    <row r="79" spans="1:7" ht="15" x14ac:dyDescent="0.25">
      <c r="A79" s="57"/>
      <c r="B79" s="57"/>
      <c r="C79" s="57"/>
      <c r="D79" s="57"/>
      <c r="E79" s="57"/>
      <c r="F79" s="57"/>
      <c r="G79" s="57"/>
    </row>
    <row r="80" spans="1:7" ht="15" x14ac:dyDescent="0.25">
      <c r="A80" s="57"/>
      <c r="B80" s="57"/>
      <c r="C80" s="57"/>
      <c r="D80" s="57"/>
      <c r="E80" s="57"/>
      <c r="F80" s="57"/>
      <c r="G80" s="57"/>
    </row>
    <row r="81" spans="1:7" ht="15" x14ac:dyDescent="0.25">
      <c r="A81" s="57"/>
      <c r="B81" s="57"/>
      <c r="C81" s="57"/>
      <c r="D81" s="57"/>
      <c r="E81" s="57"/>
      <c r="F81" s="57"/>
      <c r="G81" s="57"/>
    </row>
    <row r="82" spans="1:7" ht="15" x14ac:dyDescent="0.25">
      <c r="A82" s="57"/>
      <c r="B82" s="57"/>
      <c r="C82" s="57"/>
      <c r="D82" s="57"/>
      <c r="E82" s="57"/>
      <c r="F82" s="57"/>
      <c r="G82" s="57"/>
    </row>
    <row r="83" spans="1:7" ht="15" x14ac:dyDescent="0.25">
      <c r="A83" s="57"/>
      <c r="B83" s="57"/>
      <c r="C83" s="57"/>
      <c r="D83" s="57"/>
      <c r="E83" s="57"/>
      <c r="F83" s="57"/>
      <c r="G83" s="57"/>
    </row>
    <row r="84" spans="1:7" ht="15" x14ac:dyDescent="0.25">
      <c r="A84" s="57"/>
      <c r="B84" s="57"/>
      <c r="C84" s="57"/>
      <c r="D84" s="57"/>
      <c r="E84" s="57"/>
      <c r="F84" s="57"/>
      <c r="G84" s="57"/>
    </row>
    <row r="85" spans="1:7" ht="15" x14ac:dyDescent="0.25">
      <c r="A85" s="57"/>
      <c r="B85" s="57"/>
      <c r="C85" s="57"/>
      <c r="D85" s="57"/>
      <c r="E85" s="57"/>
      <c r="F85" s="57"/>
      <c r="G85" s="57"/>
    </row>
    <row r="86" spans="1:7" ht="15" x14ac:dyDescent="0.25">
      <c r="A86" s="57"/>
      <c r="B86" s="57"/>
      <c r="C86" s="57"/>
      <c r="D86" s="57"/>
      <c r="E86" s="57"/>
      <c r="F86" s="57"/>
      <c r="G86" s="57"/>
    </row>
    <row r="87" spans="1:7" ht="15" x14ac:dyDescent="0.25">
      <c r="A87" s="57"/>
      <c r="B87" s="57"/>
      <c r="C87" s="57"/>
      <c r="D87" s="57"/>
      <c r="E87" s="57"/>
      <c r="F87" s="57"/>
      <c r="G87" s="57"/>
    </row>
    <row r="88" spans="1:7" ht="15" x14ac:dyDescent="0.25">
      <c r="A88" s="57"/>
      <c r="B88" s="72"/>
      <c r="C88" s="72"/>
      <c r="D88" s="72"/>
      <c r="E88" s="72"/>
      <c r="F88" s="72"/>
      <c r="G88" s="72"/>
    </row>
    <row r="89" spans="1:7" ht="15" x14ac:dyDescent="0.25">
      <c r="A89" s="57"/>
      <c r="B89" s="72"/>
      <c r="C89" s="72"/>
      <c r="D89" s="72"/>
      <c r="E89" s="72"/>
      <c r="F89" s="72"/>
      <c r="G89" s="72"/>
    </row>
    <row r="90" spans="1:7" ht="15" x14ac:dyDescent="0.25">
      <c r="A90" s="57"/>
      <c r="B90" s="72"/>
      <c r="C90" s="72"/>
      <c r="D90" s="72"/>
      <c r="E90" s="72"/>
      <c r="F90" s="72"/>
      <c r="G90" s="72"/>
    </row>
    <row r="91" spans="1:7" ht="15" x14ac:dyDescent="0.25">
      <c r="A91" s="57"/>
      <c r="B91" s="72"/>
      <c r="C91" s="72"/>
      <c r="D91" s="72"/>
      <c r="E91" s="72"/>
      <c r="F91" s="72"/>
      <c r="G91" s="72"/>
    </row>
    <row r="92" spans="1:7" ht="15" x14ac:dyDescent="0.25">
      <c r="A92" s="57"/>
      <c r="B92" s="82"/>
      <c r="C92" s="82"/>
      <c r="D92" s="82"/>
      <c r="E92" s="82"/>
      <c r="F92" s="82"/>
      <c r="G92" s="82"/>
    </row>
    <row r="93" spans="1:7" ht="15" x14ac:dyDescent="0.25">
      <c r="B93" s="83"/>
      <c r="C93" s="83"/>
      <c r="D93" s="83"/>
      <c r="E93" s="83"/>
      <c r="F93" s="84"/>
      <c r="G93" s="83"/>
    </row>
  </sheetData>
  <sheetProtection algorithmName="SHA-512" hashValue="XwZGwhadkoS63obLvLp0QwS5HIf7Xdd3w8bHHwDmn251TMPhUA1nbb7YL82spdYcNvLw/GP4KGWfXXAADUFpUQ==" saltValue="ypUukQQ81EvhDjWz+d2sOw==" spinCount="100000" sheet="1" selectLockedCells="1"/>
  <mergeCells count="3">
    <mergeCell ref="A1:G1"/>
    <mergeCell ref="E2:H2"/>
    <mergeCell ref="B58:G58"/>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3BB1-554A-41D2-8F56-74EBF58E511C}">
  <sheetPr codeName="Sheet15">
    <pageSetUpPr fitToPage="1"/>
  </sheetPr>
  <dimension ref="A1:R93"/>
  <sheetViews>
    <sheetView zoomScaleNormal="100" workbookViewId="0">
      <pane xSplit="7" ySplit="18" topLeftCell="H19" activePane="bottomRight" state="frozen"/>
      <selection pane="topRight" activeCell="H1" sqref="H1"/>
      <selection pane="bottomLeft" activeCell="A19" sqref="A19"/>
      <selection pane="bottomRight" activeCell="G8" sqref="G8"/>
    </sheetView>
  </sheetViews>
  <sheetFormatPr defaultRowHeight="13.2" x14ac:dyDescent="0.25"/>
  <cols>
    <col min="1" max="1" width="3.5546875" customWidth="1"/>
    <col min="2" max="2" width="20" customWidth="1"/>
    <col min="3" max="3" width="12.88671875" customWidth="1"/>
    <col min="4" max="4" width="13" bestFit="1" customWidth="1"/>
    <col min="5" max="5" width="13.33203125" customWidth="1"/>
    <col min="6" max="6" width="6.109375" customWidth="1"/>
    <col min="7" max="7" width="16" bestFit="1" customWidth="1"/>
    <col min="8" max="8" width="11.88671875" customWidth="1"/>
    <col min="9" max="10" width="11.6640625" customWidth="1"/>
    <col min="11" max="11" width="11.44140625" customWidth="1"/>
    <col min="12" max="12" width="11.88671875" customWidth="1"/>
    <col min="13" max="13" width="12.44140625" customWidth="1"/>
    <col min="14" max="14" width="12" customWidth="1"/>
    <col min="15" max="16" width="11.6640625" customWidth="1"/>
  </cols>
  <sheetData>
    <row r="1" spans="1:18" ht="55.5" customHeight="1" x14ac:dyDescent="0.25">
      <c r="A1" s="198"/>
      <c r="B1" s="198"/>
      <c r="C1" s="198"/>
      <c r="D1" s="198"/>
      <c r="E1" s="198"/>
      <c r="F1" s="198"/>
      <c r="G1" s="198"/>
      <c r="H1" s="1"/>
    </row>
    <row r="2" spans="1:18" ht="22.8" x14ac:dyDescent="0.4">
      <c r="A2" s="28"/>
      <c r="B2" s="29" t="s">
        <v>24</v>
      </c>
      <c r="C2" s="28"/>
      <c r="D2" s="28"/>
      <c r="E2" s="199"/>
      <c r="F2" s="200"/>
      <c r="G2" s="200"/>
      <c r="H2" s="200"/>
      <c r="K2" s="99">
        <v>5</v>
      </c>
      <c r="P2" s="99">
        <v>10</v>
      </c>
      <c r="Q2" s="1"/>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1"/>
      <c r="B4" s="1"/>
      <c r="C4" s="1"/>
      <c r="D4" s="1"/>
      <c r="E4" s="1"/>
      <c r="F4" s="1"/>
      <c r="G4" s="1"/>
    </row>
    <row r="5" spans="1:18" ht="1.5" customHeight="1" x14ac:dyDescent="0.25">
      <c r="A5" s="1"/>
      <c r="B5" s="3"/>
      <c r="C5" s="1"/>
      <c r="D5" s="8"/>
      <c r="E5" s="1"/>
      <c r="F5" s="1"/>
      <c r="G5" s="1"/>
    </row>
    <row r="6" spans="1:18" ht="15" x14ac:dyDescent="0.25">
      <c r="A6" s="3"/>
      <c r="B6" s="3" t="s">
        <v>21</v>
      </c>
      <c r="C6" s="3"/>
      <c r="D6" s="26"/>
      <c r="E6" s="27"/>
      <c r="F6" s="3"/>
      <c r="G6" s="33">
        <f>'p5a one year'!D6</f>
        <v>600000</v>
      </c>
      <c r="H6" s="33">
        <f>G6*(1+'Data to enter'!G4)</f>
        <v>600000</v>
      </c>
      <c r="I6" s="33">
        <f>H6*(1+'Data to enter'!H4)</f>
        <v>600000</v>
      </c>
      <c r="J6" s="33">
        <f>I6*(1+'Data to enter'!I4)</f>
        <v>615000</v>
      </c>
      <c r="K6" s="33">
        <f>J6*(1+'Data to enter'!J4)</f>
        <v>645750</v>
      </c>
      <c r="L6" s="33">
        <f>K6*(1+'Data to enter'!K4)</f>
        <v>690952.5</v>
      </c>
      <c r="M6" s="33">
        <f>L6*(1+'Data to enter'!L4)</f>
        <v>753138.22500000009</v>
      </c>
      <c r="N6" s="33">
        <f>M6*(1+'Data to enter'!M4)</f>
        <v>835983.42975000013</v>
      </c>
      <c r="O6" s="33">
        <f>N6*(1+'Data to enter'!N4)</f>
        <v>961380.94421250012</v>
      </c>
      <c r="P6" s="33">
        <f>O6*(1+'Data to enter'!O4)</f>
        <v>1057519.0386337503</v>
      </c>
    </row>
    <row r="7" spans="1:18" ht="15" x14ac:dyDescent="0.25">
      <c r="A7" s="3"/>
      <c r="B7" s="3"/>
      <c r="C7" s="3"/>
      <c r="D7" s="27"/>
      <c r="E7" s="26"/>
      <c r="F7" s="3"/>
      <c r="G7" s="31"/>
      <c r="H7" s="86"/>
      <c r="I7" s="86"/>
      <c r="J7" s="86"/>
      <c r="K7" s="86"/>
      <c r="L7" s="86"/>
      <c r="M7" s="86"/>
      <c r="N7" s="86"/>
      <c r="O7" s="86"/>
      <c r="P7" s="86"/>
    </row>
    <row r="8" spans="1:18" ht="15" x14ac:dyDescent="0.25">
      <c r="A8" s="3"/>
      <c r="B8" s="3" t="s">
        <v>59</v>
      </c>
      <c r="C8" s="3"/>
      <c r="D8" s="27"/>
      <c r="E8" s="26"/>
      <c r="F8" s="3"/>
      <c r="G8" s="101">
        <f>'p5a one year'!E10</f>
        <v>0</v>
      </c>
      <c r="H8" s="116"/>
      <c r="I8" s="116"/>
      <c r="J8" s="116"/>
      <c r="K8" s="116"/>
      <c r="L8" s="116"/>
      <c r="M8" s="116"/>
      <c r="N8" s="116"/>
      <c r="O8" s="116"/>
      <c r="P8" s="116"/>
      <c r="Q8" s="32"/>
      <c r="R8" s="32">
        <f>SUM(G8:P8)</f>
        <v>0</v>
      </c>
    </row>
    <row r="9" spans="1:18" ht="15" x14ac:dyDescent="0.25">
      <c r="A9" s="3"/>
      <c r="B9" s="3"/>
      <c r="C9" s="3"/>
      <c r="D9" s="27"/>
      <c r="E9" s="27"/>
      <c r="F9" s="3"/>
      <c r="G9" s="31"/>
      <c r="H9" s="86"/>
      <c r="I9" s="86"/>
      <c r="J9" s="86"/>
      <c r="K9" s="86"/>
      <c r="L9" s="86"/>
      <c r="M9" s="86"/>
      <c r="N9" s="86"/>
      <c r="O9" s="86"/>
      <c r="P9" s="86"/>
    </row>
    <row r="10" spans="1:18" ht="15" x14ac:dyDescent="0.25">
      <c r="A10" s="3"/>
      <c r="B10" s="4" t="s">
        <v>9</v>
      </c>
      <c r="C10" s="3"/>
      <c r="D10" s="27"/>
      <c r="E10" s="26"/>
      <c r="F10" s="3"/>
      <c r="G10" s="31">
        <f>'p5a one year'!E12</f>
        <v>601160</v>
      </c>
      <c r="H10" s="31">
        <f>G10-H8</f>
        <v>601160</v>
      </c>
      <c r="I10" s="31">
        <f t="shared" ref="I10:P10" si="0">H10-I8</f>
        <v>601160</v>
      </c>
      <c r="J10" s="31">
        <f t="shared" si="0"/>
        <v>601160</v>
      </c>
      <c r="K10" s="31">
        <f t="shared" si="0"/>
        <v>601160</v>
      </c>
      <c r="L10" s="31">
        <f t="shared" si="0"/>
        <v>601160</v>
      </c>
      <c r="M10" s="31">
        <f t="shared" si="0"/>
        <v>601160</v>
      </c>
      <c r="N10" s="31">
        <f t="shared" si="0"/>
        <v>601160</v>
      </c>
      <c r="O10" s="31">
        <f t="shared" si="0"/>
        <v>601160</v>
      </c>
      <c r="P10" s="31">
        <f t="shared" si="0"/>
        <v>601160</v>
      </c>
    </row>
    <row r="11" spans="1:18" ht="8.25" customHeight="1" x14ac:dyDescent="0.25">
      <c r="A11" s="3"/>
      <c r="B11" s="3"/>
      <c r="C11" s="3"/>
      <c r="D11" s="8"/>
      <c r="E11" s="8"/>
      <c r="F11" s="3"/>
      <c r="G11" s="31"/>
      <c r="H11" s="86"/>
      <c r="I11" s="86"/>
      <c r="J11" s="86"/>
      <c r="K11" s="86"/>
      <c r="L11" s="86"/>
      <c r="M11" s="86"/>
      <c r="N11" s="86"/>
      <c r="O11" s="86"/>
      <c r="P11" s="86"/>
    </row>
    <row r="12" spans="1:18" ht="17.399999999999999" x14ac:dyDescent="0.3">
      <c r="A12" s="3"/>
      <c r="B12" s="19" t="s">
        <v>0</v>
      </c>
      <c r="C12" s="3"/>
      <c r="D12" s="3"/>
      <c r="E12" s="3"/>
      <c r="F12" s="3"/>
      <c r="G12" s="31"/>
      <c r="H12" s="86"/>
      <c r="I12" s="86"/>
      <c r="J12" s="86"/>
      <c r="K12" s="86"/>
      <c r="L12" s="86"/>
      <c r="M12" s="86"/>
      <c r="N12" s="86"/>
      <c r="O12" s="86"/>
      <c r="P12" s="86"/>
    </row>
    <row r="13" spans="1:18" ht="8.25" customHeight="1" x14ac:dyDescent="0.25">
      <c r="A13" s="3"/>
      <c r="B13" s="3"/>
      <c r="C13" s="3"/>
      <c r="D13" s="3"/>
      <c r="E13" s="3"/>
      <c r="F13" s="3"/>
      <c r="G13" s="31"/>
      <c r="H13" s="86"/>
      <c r="I13" s="86"/>
      <c r="J13" s="86"/>
      <c r="K13" s="86"/>
      <c r="L13" s="86"/>
      <c r="M13" s="86"/>
      <c r="N13" s="86"/>
      <c r="O13" s="86"/>
      <c r="P13" s="86"/>
    </row>
    <row r="14" spans="1:18" ht="15" x14ac:dyDescent="0.25">
      <c r="A14" s="3"/>
      <c r="B14" s="3" t="s">
        <v>27</v>
      </c>
      <c r="C14" s="3" t="s">
        <v>25</v>
      </c>
      <c r="D14" s="22">
        <f>'p5a one year'!D16</f>
        <v>51</v>
      </c>
      <c r="E14" s="3"/>
      <c r="F14" s="3"/>
      <c r="G14" s="31">
        <f>D14*D15</f>
        <v>26418</v>
      </c>
      <c r="H14" s="33">
        <f>G14*(1+'Data to enter'!F6)</f>
        <v>27210.54</v>
      </c>
      <c r="I14" s="33">
        <f>H14*(1+'Data to enter'!G6)</f>
        <v>28026.856200000002</v>
      </c>
      <c r="J14" s="33">
        <f>I14*(1+'Data to enter'!H6)</f>
        <v>28867.661886000002</v>
      </c>
      <c r="K14" s="33">
        <f>J14*(1+'Data to enter'!I6)</f>
        <v>29733.691742580002</v>
      </c>
      <c r="L14" s="33">
        <f>K14*(1+'Data to enter'!J6)</f>
        <v>30625.702494857404</v>
      </c>
      <c r="M14" s="33">
        <f>L14*(1+'Data to enter'!K6)</f>
        <v>31544.473569703125</v>
      </c>
      <c r="N14" s="33">
        <f>M14*(1+'Data to enter'!L6)</f>
        <v>32490.80777679422</v>
      </c>
      <c r="O14" s="33">
        <f>N14*(1+'Data to enter'!M6)</f>
        <v>33465.532010098046</v>
      </c>
      <c r="P14" s="33">
        <f>O14*(1+'Data to enter'!N6)</f>
        <v>34469.497970400989</v>
      </c>
    </row>
    <row r="15" spans="1:18" ht="15" x14ac:dyDescent="0.25">
      <c r="A15" s="3"/>
      <c r="B15" s="3"/>
      <c r="C15" s="3" t="s">
        <v>26</v>
      </c>
      <c r="D15" s="102">
        <f>'p5a one year'!D17</f>
        <v>518</v>
      </c>
      <c r="E15" s="3"/>
      <c r="F15" s="3"/>
      <c r="G15" s="3"/>
    </row>
    <row r="16" spans="1:18" ht="15" x14ac:dyDescent="0.25">
      <c r="A16" s="3"/>
      <c r="B16" s="3"/>
      <c r="C16" s="3"/>
      <c r="D16" s="3" t="s">
        <v>11</v>
      </c>
      <c r="E16" s="3"/>
      <c r="F16" s="3"/>
      <c r="G16" s="15">
        <f>G14/G6</f>
        <v>4.403E-2</v>
      </c>
    </row>
    <row r="17" spans="1:18" ht="6.75" customHeight="1" x14ac:dyDescent="0.25">
      <c r="A17" s="3"/>
      <c r="B17" s="3"/>
      <c r="C17" s="3"/>
      <c r="D17" s="3"/>
      <c r="E17" s="3"/>
      <c r="F17" s="3"/>
      <c r="G17" s="3"/>
    </row>
    <row r="18" spans="1:18" ht="24" customHeight="1" x14ac:dyDescent="0.3">
      <c r="A18" s="3"/>
      <c r="B18" s="20" t="s">
        <v>1</v>
      </c>
      <c r="C18" s="18"/>
      <c r="D18" s="3"/>
      <c r="E18" s="3"/>
      <c r="F18" s="3"/>
      <c r="G18" s="3"/>
    </row>
    <row r="19" spans="1:18" ht="15" x14ac:dyDescent="0.25">
      <c r="A19" s="3"/>
      <c r="B19" s="3"/>
      <c r="C19" s="3"/>
      <c r="D19" s="3"/>
      <c r="E19" s="3"/>
      <c r="F19" s="3"/>
      <c r="G19" s="3"/>
    </row>
    <row r="20" spans="1:18" ht="15" x14ac:dyDescent="0.25">
      <c r="A20" s="3"/>
      <c r="B20" s="3" t="s">
        <v>7</v>
      </c>
      <c r="C20" s="3"/>
      <c r="D20" s="3"/>
      <c r="E20" s="34"/>
      <c r="F20" s="34"/>
      <c r="G20" s="35">
        <f>'p5a one year'!G22</f>
        <v>1700</v>
      </c>
      <c r="H20" s="33">
        <f>G20*(1+'Data to enter'!F8)</f>
        <v>1751</v>
      </c>
      <c r="I20" s="33">
        <f>H20*(1+'Data to enter'!G8)</f>
        <v>1803.53</v>
      </c>
      <c r="J20" s="33">
        <f>I20*(1+'Data to enter'!H8)</f>
        <v>1857.6359</v>
      </c>
      <c r="K20" s="33">
        <f>J20*(1+'Data to enter'!I8)</f>
        <v>1913.364977</v>
      </c>
      <c r="L20" s="33">
        <f>K20*(1+'Data to enter'!J8)</f>
        <v>1970.7659263099999</v>
      </c>
      <c r="M20" s="33">
        <f>L20*(1+'Data to enter'!K8)</f>
        <v>2029.8889040992999</v>
      </c>
      <c r="N20" s="33">
        <f>M20*(1+'Data to enter'!L8)</f>
        <v>2090.785571222279</v>
      </c>
      <c r="O20" s="33">
        <f>N20*(1+'Data to enter'!M8)</f>
        <v>2153.5091383589474</v>
      </c>
      <c r="P20" s="33">
        <f>O20*(1+'Data to enter'!N8)</f>
        <v>2218.1144125097157</v>
      </c>
    </row>
    <row r="21" spans="1:18" ht="15" x14ac:dyDescent="0.25">
      <c r="A21" s="3"/>
      <c r="B21" s="3" t="s">
        <v>8</v>
      </c>
      <c r="C21" s="3"/>
      <c r="D21" s="3"/>
      <c r="E21" s="34"/>
      <c r="F21" s="34"/>
      <c r="G21" s="35">
        <f>'p5a one year'!G23</f>
        <v>50</v>
      </c>
      <c r="H21" s="33">
        <f>G21*(1+'Data to enter'!F8)</f>
        <v>51.5</v>
      </c>
      <c r="I21" s="33">
        <f>H21*(1+'Data to enter'!G8)</f>
        <v>53.045000000000002</v>
      </c>
      <c r="J21" s="33">
        <f>I21*(1+'Data to enter'!H8)</f>
        <v>54.63635</v>
      </c>
      <c r="K21" s="33">
        <f>J21*(1+'Data to enter'!I8)</f>
        <v>56.275440500000002</v>
      </c>
      <c r="L21" s="33">
        <f>K21*(1+'Data to enter'!J8)</f>
        <v>57.963703715000001</v>
      </c>
      <c r="M21" s="33">
        <f>L21*(1+'Data to enter'!K8)</f>
        <v>59.702614826450002</v>
      </c>
      <c r="N21" s="33">
        <f>M21*(1+'Data to enter'!L8)</f>
        <v>61.493693271243501</v>
      </c>
      <c r="O21" s="33">
        <f>N21*(1+'Data to enter'!M8)</f>
        <v>63.338504069380811</v>
      </c>
      <c r="P21" s="33">
        <f>O21*(1+'Data to enter'!N8)</f>
        <v>65.238659191462233</v>
      </c>
    </row>
    <row r="22" spans="1:18" ht="15" x14ac:dyDescent="0.25">
      <c r="A22" s="3"/>
      <c r="B22" s="3" t="s">
        <v>14</v>
      </c>
      <c r="C22" s="3"/>
      <c r="D22" s="3"/>
      <c r="E22" s="34"/>
      <c r="F22" s="34"/>
      <c r="G22" s="35">
        <f>'p5a one year'!G24</f>
        <v>0</v>
      </c>
      <c r="H22" s="33">
        <f>G22*(1+'Data to enter'!F8)</f>
        <v>0</v>
      </c>
      <c r="I22" s="33">
        <f>H22*(1+'Data to enter'!G8)</f>
        <v>0</v>
      </c>
      <c r="J22" s="33">
        <f>I22*(1+'Data to enter'!H8)</f>
        <v>0</v>
      </c>
      <c r="K22" s="33">
        <f>J22*(1+'Data to enter'!I8)</f>
        <v>0</v>
      </c>
      <c r="L22" s="33">
        <f>K22*(1+'Data to enter'!J8)</f>
        <v>0</v>
      </c>
      <c r="M22" s="33">
        <f>L22*(1+'Data to enter'!K8)</f>
        <v>0</v>
      </c>
      <c r="N22" s="33">
        <f>M22*(1+'Data to enter'!L8)</f>
        <v>0</v>
      </c>
      <c r="O22" s="33">
        <f>N22*(1+'Data to enter'!M8)</f>
        <v>0</v>
      </c>
      <c r="P22" s="33">
        <f>O22*(1+'Data to enter'!N8)</f>
        <v>0</v>
      </c>
    </row>
    <row r="23" spans="1:18" ht="15" x14ac:dyDescent="0.25">
      <c r="A23" s="3"/>
      <c r="B23" s="3" t="s">
        <v>2</v>
      </c>
      <c r="C23" s="3"/>
      <c r="D23" s="3"/>
      <c r="E23" s="34"/>
      <c r="F23" s="34"/>
      <c r="G23" s="35">
        <f>'p5a one year'!G25</f>
        <v>1200</v>
      </c>
      <c r="H23" s="33">
        <f>G23*(1+'Data to enter'!F8)</f>
        <v>1236</v>
      </c>
      <c r="I23" s="33">
        <f>H23*(1+'Data to enter'!G8)</f>
        <v>1273.08</v>
      </c>
      <c r="J23" s="33">
        <f>I23*(1+'Data to enter'!H8)</f>
        <v>1311.2724000000001</v>
      </c>
      <c r="K23" s="33">
        <f>J23*(1+'Data to enter'!I8)</f>
        <v>1350.610572</v>
      </c>
      <c r="L23" s="33">
        <f>K23*(1+'Data to enter'!J8)</f>
        <v>1391.12888916</v>
      </c>
      <c r="M23" s="33">
        <f>L23*(1+'Data to enter'!K8)</f>
        <v>1432.8627558348001</v>
      </c>
      <c r="N23" s="33">
        <f>M23*(1+'Data to enter'!L8)</f>
        <v>1475.848638509844</v>
      </c>
      <c r="O23" s="33">
        <f>N23*(1+'Data to enter'!M8)</f>
        <v>1520.1240976651393</v>
      </c>
      <c r="P23" s="33">
        <f>O23*(1+'Data to enter'!N8)</f>
        <v>1565.7278205950936</v>
      </c>
    </row>
    <row r="24" spans="1:18" ht="15" x14ac:dyDescent="0.25">
      <c r="A24" s="3"/>
      <c r="B24" s="3" t="s">
        <v>28</v>
      </c>
      <c r="C24" s="3"/>
      <c r="D24" s="3" t="s">
        <v>29</v>
      </c>
      <c r="E24" s="36"/>
      <c r="F24" s="34"/>
      <c r="G24" s="31">
        <f>(G10/2*'Data to enter'!F10)+('p5a 10 year'!G10/2*'Data to enter'!F11)</f>
        <v>15870.624</v>
      </c>
      <c r="H24" s="31">
        <f>(H10/2*'Data to enter'!G10)+('p5a 10 year'!H10/2*'Data to enter'!G11)</f>
        <v>16201.262000000001</v>
      </c>
      <c r="I24" s="31">
        <f>(I10/2*'Data to enter'!H10)+('p5a 10 year'!I10/2*'Data to enter'!H11)</f>
        <v>16501.842000000001</v>
      </c>
      <c r="J24" s="31">
        <f>(J10/2*'Data to enter'!I10)+('p5a 10 year'!J10/2*'Data to enter'!I11)</f>
        <v>17253.292000000001</v>
      </c>
      <c r="K24" s="105">
        <f>(K10/2*'Data to enter'!J10)+('p5a 10 year'!K10/2*'Data to enter'!J11)</f>
        <v>18004.741999999998</v>
      </c>
      <c r="L24" s="105">
        <f>(L10/2*'Data to enter'!K10)+('p5a 10 year'!L10/2*'Data to enter'!K11)</f>
        <v>21792.050000000003</v>
      </c>
      <c r="M24" s="31">
        <f>(M10/2*'Data to enter'!L10)+('p5a 10 year'!M10/2*'Data to enter'!L11)</f>
        <v>22543.5</v>
      </c>
      <c r="N24" s="31">
        <f>(N10/2*'Data to enter'!M10)+('p5a 10 year'!N10/2*'Data to enter'!M11)</f>
        <v>23294.95</v>
      </c>
      <c r="O24" s="31">
        <f>(O10/2*'Data to enter'!N10)+('p5a 10 year'!O10/2*'Data to enter'!N11)</f>
        <v>24046.400000000001</v>
      </c>
      <c r="P24" s="31">
        <f>(P10/2*'Data to enter'!O10)+('p5a 10 year'!P10/2*'Data to enter'!O11)</f>
        <v>24797.850000000002</v>
      </c>
    </row>
    <row r="25" spans="1:18" ht="15" x14ac:dyDescent="0.25">
      <c r="A25" s="3"/>
      <c r="B25" s="3" t="s">
        <v>95</v>
      </c>
      <c r="C25" s="3"/>
      <c r="D25" s="3"/>
      <c r="E25" s="34"/>
      <c r="F25" s="34"/>
      <c r="G25" s="35">
        <f>'p5a one year'!G27</f>
        <v>2775.4559999999997</v>
      </c>
      <c r="H25" s="31">
        <f>G25*(1+'Data to enter'!F8)</f>
        <v>2858.7196799999997</v>
      </c>
      <c r="I25" s="31">
        <f>H25*(1+'Data to enter'!G8)</f>
        <v>2944.4812703999996</v>
      </c>
      <c r="J25" s="31">
        <f>I25*(1+'Data to enter'!H8)</f>
        <v>3032.8157085119997</v>
      </c>
      <c r="K25" s="31">
        <f>J25*(1+'Data to enter'!I8)</f>
        <v>3123.8001797673596</v>
      </c>
      <c r="L25" s="31">
        <f>K25*(1+'Data to enter'!J8)</f>
        <v>3217.5141851603803</v>
      </c>
      <c r="M25" s="31">
        <f>L25*(1+'Data to enter'!K8)</f>
        <v>3314.0396107151919</v>
      </c>
      <c r="N25" s="31">
        <f>M25*(1+'Data to enter'!L8)</f>
        <v>3413.4607990366476</v>
      </c>
      <c r="O25" s="31">
        <f>N25*(1+'Data to enter'!M8)</f>
        <v>3515.864623007747</v>
      </c>
      <c r="P25" s="31">
        <f>O25*(1+'Data to enter'!N8)</f>
        <v>3621.3405616979794</v>
      </c>
    </row>
    <row r="26" spans="1:18" ht="15" x14ac:dyDescent="0.25">
      <c r="A26" s="3"/>
      <c r="B26" s="3" t="s">
        <v>3</v>
      </c>
      <c r="C26" s="3"/>
      <c r="D26" s="3"/>
      <c r="E26" s="34"/>
      <c r="F26" s="34"/>
      <c r="G26" s="35">
        <f>'p5a one year'!G28</f>
        <v>2500</v>
      </c>
      <c r="H26" s="31">
        <f>G26*(1+'Data to enter'!F8)</f>
        <v>2575</v>
      </c>
      <c r="I26" s="31">
        <f>H26*(1+'Data to enter'!G8)</f>
        <v>2652.25</v>
      </c>
      <c r="J26" s="31">
        <f>I26*(1+'Data to enter'!H8)</f>
        <v>2731.8175000000001</v>
      </c>
      <c r="K26" s="31">
        <f>J26*(1+'Data to enter'!I8)</f>
        <v>2813.7720250000002</v>
      </c>
      <c r="L26" s="31">
        <f>K26*(1+'Data to enter'!J8)</f>
        <v>2898.1851857500001</v>
      </c>
      <c r="M26" s="31">
        <f>L26*(1+'Data to enter'!K8)</f>
        <v>2985.1307413224999</v>
      </c>
      <c r="N26" s="31">
        <f>M26*(1+'Data to enter'!L8)</f>
        <v>3074.684663562175</v>
      </c>
      <c r="O26" s="31">
        <f>N26*(1+'Data to enter'!M8)</f>
        <v>3166.9252034690403</v>
      </c>
      <c r="P26" s="31">
        <f>O26*(1+'Data to enter'!N8)</f>
        <v>3261.9329595731115</v>
      </c>
    </row>
    <row r="27" spans="1:18" ht="15" x14ac:dyDescent="0.25">
      <c r="A27" s="3"/>
      <c r="B27" s="3" t="s">
        <v>6</v>
      </c>
      <c r="C27" s="3"/>
      <c r="D27" s="3"/>
      <c r="E27" s="34"/>
      <c r="F27" s="34"/>
      <c r="G27" s="35">
        <f>'p5a one year'!G29</f>
        <v>2750</v>
      </c>
      <c r="H27" s="31">
        <f>G27*(1+'Data to enter'!F8)</f>
        <v>2832.5</v>
      </c>
      <c r="I27" s="31">
        <f>H27*(1+'Data to enter'!G8)</f>
        <v>2917.4749999999999</v>
      </c>
      <c r="J27" s="31">
        <f>I27*(1+'Data to enter'!H8)</f>
        <v>3004.9992499999998</v>
      </c>
      <c r="K27" s="31">
        <f>J27*(1+'Data to enter'!I8)</f>
        <v>3095.1492275000001</v>
      </c>
      <c r="L27" s="31">
        <f>K27*(1+'Data to enter'!J8)</f>
        <v>3188.0037043249999</v>
      </c>
      <c r="M27" s="31">
        <f>L27*(1+'Data to enter'!K8)</f>
        <v>3283.64381545475</v>
      </c>
      <c r="N27" s="31">
        <f>M27*(1+'Data to enter'!L8)</f>
        <v>3382.1531299183926</v>
      </c>
      <c r="O27" s="31">
        <f>N27*(1+'Data to enter'!M8)</f>
        <v>3483.6177238159444</v>
      </c>
      <c r="P27" s="31">
        <f>O27*(1+'Data to enter'!N8)</f>
        <v>3588.1262555304229</v>
      </c>
    </row>
    <row r="28" spans="1:18" ht="15" x14ac:dyDescent="0.25">
      <c r="A28" s="3"/>
      <c r="B28" s="3" t="s">
        <v>22</v>
      </c>
      <c r="C28" s="3"/>
      <c r="D28" s="3"/>
      <c r="E28" s="34"/>
      <c r="F28" s="34"/>
      <c r="G28" s="35">
        <f>'p5a one year'!G30</f>
        <v>100</v>
      </c>
      <c r="H28" s="31">
        <f>G28*(1+'Data to enter'!F8)</f>
        <v>103</v>
      </c>
      <c r="I28" s="31">
        <f>H28*(1+'Data to enter'!G8)</f>
        <v>106.09</v>
      </c>
      <c r="J28" s="31">
        <f>I28*(1+'Data to enter'!H8)</f>
        <v>109.2727</v>
      </c>
      <c r="K28" s="31">
        <f>J28*(1+'Data to enter'!I8)</f>
        <v>112.550881</v>
      </c>
      <c r="L28" s="31">
        <f>K28*(1+'Data to enter'!J8)</f>
        <v>115.92740743</v>
      </c>
      <c r="M28" s="31">
        <f>L28*(1+'Data to enter'!K8)</f>
        <v>119.4052296529</v>
      </c>
      <c r="N28" s="31">
        <f>M28*(1+'Data to enter'!L8)</f>
        <v>122.987386542487</v>
      </c>
      <c r="O28" s="31">
        <f>N28*(1+'Data to enter'!M8)</f>
        <v>126.67700813876162</v>
      </c>
      <c r="P28" s="31">
        <f>O28*(1+'Data to enter'!N8)</f>
        <v>130.47731838292447</v>
      </c>
    </row>
    <row r="29" spans="1:18" ht="15" x14ac:dyDescent="0.25">
      <c r="A29" s="3"/>
      <c r="B29" s="3" t="s">
        <v>23</v>
      </c>
      <c r="C29" s="3"/>
      <c r="D29" s="3"/>
      <c r="E29" s="34"/>
      <c r="F29" s="34"/>
      <c r="G29" s="35">
        <f>'p5a one year'!G31</f>
        <v>300</v>
      </c>
      <c r="H29" s="31">
        <f>G29*(1+'Data to enter'!F8)</f>
        <v>309</v>
      </c>
      <c r="I29" s="31">
        <f>H29*(1+'Data to enter'!G8)</f>
        <v>318.27</v>
      </c>
      <c r="J29" s="31">
        <f>I29*(1+'Data to enter'!H8)</f>
        <v>327.81810000000002</v>
      </c>
      <c r="K29" s="31">
        <f>J29*(1+'Data to enter'!I8)</f>
        <v>337.65264300000001</v>
      </c>
      <c r="L29" s="31">
        <f>K29*(1+'Data to enter'!J8)</f>
        <v>347.78222228999999</v>
      </c>
      <c r="M29" s="31">
        <f>L29*(1+'Data to enter'!K8)</f>
        <v>358.21568895870001</v>
      </c>
      <c r="N29" s="31">
        <f>M29*(1+'Data to enter'!L8)</f>
        <v>368.96215962746101</v>
      </c>
      <c r="O29" s="31">
        <f>N29*(1+'Data to enter'!M8)</f>
        <v>380.03102441628482</v>
      </c>
      <c r="P29" s="31">
        <f>O29*(1+'Data to enter'!N8)</f>
        <v>391.4319551487734</v>
      </c>
    </row>
    <row r="30" spans="1:18" ht="15" x14ac:dyDescent="0.25">
      <c r="A30" s="3"/>
      <c r="B30" s="3" t="s">
        <v>5</v>
      </c>
      <c r="C30" s="3"/>
      <c r="D30" s="3"/>
      <c r="E30" s="34"/>
      <c r="F30" s="34"/>
      <c r="G30" s="35">
        <f>'p5a one year'!G32</f>
        <v>86</v>
      </c>
      <c r="H30" s="31">
        <f>G30*(1+'Data to enter'!F8)</f>
        <v>88.58</v>
      </c>
      <c r="I30" s="31">
        <f>H30*(1+'Data to enter'!G8)</f>
        <v>91.237399999999994</v>
      </c>
      <c r="J30" s="31">
        <f>I30*(1+'Data to enter'!H8)</f>
        <v>93.974521999999993</v>
      </c>
      <c r="K30" s="31">
        <f>J30*(1+'Data to enter'!I8)</f>
        <v>96.793757659999997</v>
      </c>
      <c r="L30" s="31">
        <f>K30*(1+'Data to enter'!J8)</f>
        <v>99.697570389800006</v>
      </c>
      <c r="M30" s="31">
        <f>L30*(1+'Data to enter'!K8)</f>
        <v>102.68849750149401</v>
      </c>
      <c r="N30" s="31">
        <f>M30*(1+'Data to enter'!L8)</f>
        <v>105.76915242653884</v>
      </c>
      <c r="O30" s="31">
        <f>N30*(1+'Data to enter'!M8)</f>
        <v>108.94222699933501</v>
      </c>
      <c r="P30" s="31">
        <f>O30*(1+'Data to enter'!N8)</f>
        <v>112.21049380931505</v>
      </c>
    </row>
    <row r="31" spans="1:18" ht="15" x14ac:dyDescent="0.25">
      <c r="A31" s="3"/>
      <c r="B31" s="3"/>
      <c r="C31" s="3"/>
      <c r="D31" s="3"/>
      <c r="E31" s="3"/>
      <c r="F31" s="3"/>
      <c r="G31" s="3"/>
    </row>
    <row r="32" spans="1:18" ht="17.399999999999999" x14ac:dyDescent="0.3">
      <c r="A32" s="3"/>
      <c r="B32" s="20" t="s">
        <v>4</v>
      </c>
      <c r="C32" s="20"/>
      <c r="D32" s="3"/>
      <c r="E32" s="3"/>
      <c r="F32" s="3"/>
      <c r="G32" s="117">
        <f>SUM(G20:G30)</f>
        <v>27332.079999999998</v>
      </c>
      <c r="H32" s="117">
        <f t="shared" ref="H32:P32" si="1">SUM(H20:H30)</f>
        <v>28006.561680000003</v>
      </c>
      <c r="I32" s="117">
        <f t="shared" si="1"/>
        <v>28661.3006704</v>
      </c>
      <c r="J32" s="117">
        <f t="shared" si="1"/>
        <v>29777.534430512005</v>
      </c>
      <c r="K32" s="117">
        <f t="shared" si="1"/>
        <v>30904.711703427358</v>
      </c>
      <c r="L32" s="117">
        <f t="shared" si="1"/>
        <v>35079.01879453018</v>
      </c>
      <c r="M32" s="117">
        <f t="shared" si="1"/>
        <v>36229.077858366079</v>
      </c>
      <c r="N32" s="117">
        <f t="shared" si="1"/>
        <v>37391.095194117072</v>
      </c>
      <c r="O32" s="117">
        <f t="shared" si="1"/>
        <v>38565.429549940578</v>
      </c>
      <c r="P32" s="117">
        <f t="shared" si="1"/>
        <v>39752.450436438798</v>
      </c>
      <c r="Q32" s="86"/>
      <c r="R32" s="86"/>
    </row>
    <row r="33" spans="1:18" ht="15" x14ac:dyDescent="0.25">
      <c r="A33" s="3"/>
      <c r="B33" s="3"/>
      <c r="C33" s="3"/>
      <c r="D33" s="3"/>
      <c r="E33" s="3"/>
      <c r="F33" s="3"/>
      <c r="G33" s="31"/>
      <c r="H33" s="86"/>
      <c r="I33" s="86"/>
      <c r="J33" s="86"/>
      <c r="K33" s="86"/>
      <c r="L33" s="86"/>
      <c r="M33" s="86"/>
      <c r="N33" s="86"/>
      <c r="O33" s="86"/>
      <c r="P33" s="86"/>
      <c r="Q33" s="86"/>
      <c r="R33" s="86"/>
    </row>
    <row r="34" spans="1:18" ht="15" x14ac:dyDescent="0.25">
      <c r="A34" s="103"/>
      <c r="B34" s="104" t="s">
        <v>10</v>
      </c>
      <c r="C34" s="104"/>
      <c r="D34" s="104"/>
      <c r="E34" s="103"/>
      <c r="F34" s="103"/>
      <c r="G34" s="118">
        <f>G14-G32</f>
        <v>-914.07999999999811</v>
      </c>
      <c r="H34" s="118">
        <f t="shared" ref="H34:P34" si="2">H14-H32</f>
        <v>-796.02168000000165</v>
      </c>
      <c r="I34" s="118">
        <f t="shared" si="2"/>
        <v>-634.44447039999795</v>
      </c>
      <c r="J34" s="118">
        <f t="shared" si="2"/>
        <v>-909.87254451200351</v>
      </c>
      <c r="K34" s="118">
        <f t="shared" si="2"/>
        <v>-1171.0199608473558</v>
      </c>
      <c r="L34" s="118">
        <f t="shared" si="2"/>
        <v>-4453.3162996727769</v>
      </c>
      <c r="M34" s="118">
        <f t="shared" si="2"/>
        <v>-4684.6042886629548</v>
      </c>
      <c r="N34" s="118">
        <f t="shared" si="2"/>
        <v>-4900.287417322852</v>
      </c>
      <c r="O34" s="118">
        <f t="shared" si="2"/>
        <v>-5099.8975398425318</v>
      </c>
      <c r="P34" s="118">
        <f t="shared" si="2"/>
        <v>-5282.9524660378083</v>
      </c>
      <c r="Q34" s="86"/>
      <c r="R34" s="86"/>
    </row>
    <row r="35" spans="1:18" ht="15" x14ac:dyDescent="0.25">
      <c r="A35" s="3"/>
      <c r="B35" s="3"/>
      <c r="C35" s="3"/>
      <c r="D35" s="3"/>
      <c r="E35" s="3"/>
      <c r="F35" s="3"/>
      <c r="G35" s="31"/>
      <c r="H35" s="86"/>
      <c r="I35" s="86"/>
      <c r="J35" s="86"/>
      <c r="K35" s="86"/>
      <c r="L35" s="86"/>
      <c r="M35" s="86"/>
      <c r="N35" s="86"/>
      <c r="O35" s="86"/>
      <c r="P35" s="86"/>
      <c r="Q35" s="86"/>
      <c r="R35" s="86"/>
    </row>
    <row r="36" spans="1:18" ht="15" x14ac:dyDescent="0.25">
      <c r="A36" s="3"/>
      <c r="B36" s="4" t="s">
        <v>12</v>
      </c>
      <c r="C36" s="4"/>
      <c r="D36" s="3"/>
      <c r="E36" s="3" t="s">
        <v>15</v>
      </c>
      <c r="F36" s="3"/>
      <c r="G36" s="31"/>
      <c r="H36" s="86"/>
      <c r="I36" s="86"/>
      <c r="J36" s="86"/>
      <c r="K36" s="86"/>
      <c r="L36" s="86"/>
      <c r="M36" s="86"/>
      <c r="N36" s="86"/>
      <c r="O36" s="86"/>
      <c r="P36" s="86"/>
      <c r="Q36" s="86"/>
      <c r="R36" s="86"/>
    </row>
    <row r="37" spans="1:18" ht="15" x14ac:dyDescent="0.25">
      <c r="A37" s="3"/>
      <c r="B37" s="3"/>
      <c r="C37" s="3"/>
      <c r="D37" s="3"/>
      <c r="E37" s="3" t="s">
        <v>16</v>
      </c>
      <c r="F37" s="3"/>
      <c r="G37" s="37">
        <f>'p5a one year'!H39</f>
        <v>2000</v>
      </c>
      <c r="H37" s="37">
        <f>G37*0.75</f>
        <v>1500</v>
      </c>
      <c r="I37" s="37">
        <f t="shared" ref="I37:P37" si="3">H37*0.75</f>
        <v>1125</v>
      </c>
      <c r="J37" s="37">
        <f t="shared" si="3"/>
        <v>843.75</v>
      </c>
      <c r="K37" s="37">
        <f t="shared" si="3"/>
        <v>632.8125</v>
      </c>
      <c r="L37" s="37">
        <f t="shared" si="3"/>
        <v>474.609375</v>
      </c>
      <c r="M37" s="37">
        <f t="shared" si="3"/>
        <v>355.95703125</v>
      </c>
      <c r="N37" s="37">
        <f t="shared" si="3"/>
        <v>266.9677734375</v>
      </c>
      <c r="O37" s="37">
        <f t="shared" si="3"/>
        <v>200.225830078125</v>
      </c>
      <c r="P37" s="37">
        <f t="shared" si="3"/>
        <v>150.16937255859375</v>
      </c>
      <c r="Q37" s="86"/>
      <c r="R37" s="86"/>
    </row>
    <row r="38" spans="1:18" ht="15" x14ac:dyDescent="0.25">
      <c r="A38" s="3"/>
      <c r="B38" s="3"/>
      <c r="C38" s="3"/>
      <c r="D38" s="3"/>
      <c r="E38" s="3"/>
      <c r="F38" s="3"/>
      <c r="G38" s="31"/>
      <c r="H38" s="86"/>
      <c r="I38" s="86"/>
      <c r="J38" s="86"/>
      <c r="K38" s="86"/>
      <c r="L38" s="86"/>
      <c r="M38" s="86"/>
      <c r="N38" s="86"/>
      <c r="O38" s="86"/>
      <c r="P38" s="86"/>
      <c r="Q38" s="86"/>
      <c r="R38" s="86"/>
    </row>
    <row r="39" spans="1:18" ht="15" x14ac:dyDescent="0.25">
      <c r="A39" s="3"/>
      <c r="B39" s="3"/>
      <c r="C39" s="3"/>
      <c r="D39" s="3"/>
      <c r="E39" s="3"/>
      <c r="F39" s="3"/>
      <c r="G39" s="31"/>
      <c r="H39" s="86"/>
      <c r="I39" s="86"/>
      <c r="J39" s="86"/>
      <c r="K39" s="86"/>
      <c r="L39" s="86"/>
      <c r="M39" s="86"/>
      <c r="N39" s="86"/>
      <c r="O39" s="86"/>
      <c r="P39" s="86"/>
      <c r="Q39" s="86"/>
      <c r="R39" s="86"/>
    </row>
    <row r="40" spans="1:18" ht="15" x14ac:dyDescent="0.25">
      <c r="A40" s="3"/>
      <c r="B40" s="4" t="s">
        <v>13</v>
      </c>
      <c r="C40" s="4"/>
      <c r="D40" s="4"/>
      <c r="E40" s="4"/>
      <c r="F40" s="4"/>
      <c r="G40" s="17">
        <f>G34-G37</f>
        <v>-2914.0799999999981</v>
      </c>
      <c r="H40" s="17">
        <f t="shared" ref="H40:P40" si="4">H34-H37</f>
        <v>-2296.0216800000017</v>
      </c>
      <c r="I40" s="17">
        <f t="shared" si="4"/>
        <v>-1759.444470399998</v>
      </c>
      <c r="J40" s="17">
        <f t="shared" si="4"/>
        <v>-1753.6225445120035</v>
      </c>
      <c r="K40" s="17">
        <f t="shared" si="4"/>
        <v>-1803.8324608473558</v>
      </c>
      <c r="L40" s="17">
        <f t="shared" si="4"/>
        <v>-4927.9256746727769</v>
      </c>
      <c r="M40" s="17">
        <f t="shared" si="4"/>
        <v>-5040.5613199129548</v>
      </c>
      <c r="N40" s="17">
        <f t="shared" si="4"/>
        <v>-5167.255190760352</v>
      </c>
      <c r="O40" s="17">
        <f t="shared" si="4"/>
        <v>-5300.1233699206568</v>
      </c>
      <c r="P40" s="17">
        <f t="shared" si="4"/>
        <v>-5433.1218385964021</v>
      </c>
      <c r="Q40" s="86"/>
      <c r="R40" s="86"/>
    </row>
    <row r="41" spans="1:18" ht="15" x14ac:dyDescent="0.25">
      <c r="A41" s="3"/>
      <c r="B41" s="4"/>
      <c r="C41" s="4"/>
      <c r="D41" s="4"/>
      <c r="E41" s="4"/>
      <c r="F41" s="4"/>
      <c r="G41" s="17"/>
      <c r="H41" s="86"/>
      <c r="I41" s="86"/>
      <c r="J41" s="86"/>
      <c r="K41" s="86"/>
      <c r="L41" s="86"/>
      <c r="M41" s="86"/>
      <c r="N41" s="86"/>
      <c r="O41" s="86"/>
      <c r="P41" s="86"/>
      <c r="Q41" s="86"/>
      <c r="R41" s="86"/>
    </row>
    <row r="42" spans="1:18" ht="17.399999999999999" x14ac:dyDescent="0.3">
      <c r="A42" s="3"/>
      <c r="B42" s="21" t="s">
        <v>30</v>
      </c>
      <c r="C42" s="4"/>
      <c r="D42" s="4"/>
      <c r="E42" s="36"/>
      <c r="F42" s="4"/>
      <c r="G42" s="17">
        <f>IF(G40&lt;0,0,-(G40*$G$43*$E$43)+-(G40*$G$44*$E$44))</f>
        <v>0</v>
      </c>
      <c r="H42" s="17">
        <f>IF(H40&lt;0,0,-(H40*$G$43*$E$43)+-(H40*$G$44*$E$44))</f>
        <v>0</v>
      </c>
      <c r="I42" s="17">
        <f t="shared" ref="I42:P42" si="5">IF(I40&lt;0,0,-(I40*$G$43*$E$43)+-(I40*$G$44*$E$44))</f>
        <v>0</v>
      </c>
      <c r="J42" s="17">
        <f t="shared" si="5"/>
        <v>0</v>
      </c>
      <c r="K42" s="17">
        <f t="shared" si="5"/>
        <v>0</v>
      </c>
      <c r="L42" s="17">
        <f t="shared" si="5"/>
        <v>0</v>
      </c>
      <c r="M42" s="17">
        <f t="shared" si="5"/>
        <v>0</v>
      </c>
      <c r="N42" s="17">
        <f t="shared" si="5"/>
        <v>0</v>
      </c>
      <c r="O42" s="17">
        <f t="shared" si="5"/>
        <v>0</v>
      </c>
      <c r="P42" s="17">
        <f t="shared" si="5"/>
        <v>0</v>
      </c>
      <c r="Q42" s="86"/>
      <c r="R42" s="86">
        <f>SUM(H42:P42)</f>
        <v>0</v>
      </c>
    </row>
    <row r="43" spans="1:18" ht="15" x14ac:dyDescent="0.25">
      <c r="A43" s="3"/>
      <c r="B43" s="4"/>
      <c r="C43" s="4" t="s">
        <v>32</v>
      </c>
      <c r="D43" s="4" t="s">
        <v>31</v>
      </c>
      <c r="E43" s="36">
        <f>'p5a one year'!E45</f>
        <v>0.33</v>
      </c>
      <c r="F43" s="4"/>
      <c r="G43" s="16">
        <f>'p5a one year'!G45</f>
        <v>0.99</v>
      </c>
      <c r="K43" s="87"/>
      <c r="L43" s="87"/>
      <c r="M43" s="87"/>
      <c r="N43" s="87"/>
    </row>
    <row r="44" spans="1:18" ht="15" x14ac:dyDescent="0.25">
      <c r="A44" s="3"/>
      <c r="B44" s="4"/>
      <c r="C44" s="4" t="s">
        <v>34</v>
      </c>
      <c r="D44" s="4"/>
      <c r="E44" s="36">
        <f>'p5a one year'!E46</f>
        <v>0.17499999999999999</v>
      </c>
      <c r="F44" s="4"/>
      <c r="G44" s="16">
        <f>'p5a one year'!G46</f>
        <v>0.01</v>
      </c>
    </row>
    <row r="45" spans="1:18" ht="15" x14ac:dyDescent="0.25">
      <c r="A45" s="3"/>
      <c r="B45" s="2"/>
      <c r="C45" s="2"/>
      <c r="D45" s="2"/>
      <c r="E45" s="2"/>
      <c r="F45" s="2"/>
      <c r="G45" s="2"/>
    </row>
    <row r="46" spans="1:18" ht="18" thickBot="1" x14ac:dyDescent="0.35">
      <c r="A46" s="3"/>
      <c r="B46" s="4" t="s">
        <v>36</v>
      </c>
      <c r="C46" s="2"/>
      <c r="D46" s="2"/>
      <c r="E46" s="2"/>
      <c r="F46" s="2"/>
      <c r="G46" s="30">
        <f>G34+G42</f>
        <v>-914.07999999999811</v>
      </c>
      <c r="H46" s="30">
        <f t="shared" ref="H46:P46" si="6">H34+H42</f>
        <v>-796.02168000000165</v>
      </c>
      <c r="I46" s="30">
        <f t="shared" si="6"/>
        <v>-634.44447039999795</v>
      </c>
      <c r="J46" s="30">
        <f t="shared" si="6"/>
        <v>-909.87254451200351</v>
      </c>
      <c r="K46" s="30">
        <f t="shared" si="6"/>
        <v>-1171.0199608473558</v>
      </c>
      <c r="L46" s="30">
        <f t="shared" si="6"/>
        <v>-4453.3162996727769</v>
      </c>
      <c r="M46" s="30">
        <f t="shared" si="6"/>
        <v>-4684.6042886629548</v>
      </c>
      <c r="N46" s="30">
        <f t="shared" si="6"/>
        <v>-4900.287417322852</v>
      </c>
      <c r="O46" s="30">
        <f t="shared" si="6"/>
        <v>-5099.8975398425318</v>
      </c>
      <c r="P46" s="30">
        <f t="shared" si="6"/>
        <v>-5282.9524660378083</v>
      </c>
    </row>
    <row r="47" spans="1:18" ht="15.6" thickTop="1" x14ac:dyDescent="0.25">
      <c r="A47" s="3"/>
      <c r="B47" s="3"/>
      <c r="C47" s="3"/>
      <c r="D47" s="3"/>
      <c r="E47" s="3"/>
      <c r="F47" s="3"/>
      <c r="G47" s="31"/>
    </row>
    <row r="48" spans="1:18" ht="15" x14ac:dyDescent="0.25">
      <c r="A48" s="3"/>
      <c r="B48" s="4" t="s">
        <v>17</v>
      </c>
      <c r="C48" s="3"/>
      <c r="D48" s="3"/>
      <c r="E48" s="3"/>
      <c r="F48" s="3"/>
      <c r="G48" s="17">
        <f>G46/52</f>
        <v>-17.578461538461504</v>
      </c>
      <c r="H48" s="17">
        <f t="shared" ref="H48:P48" si="7">H46/52</f>
        <v>-15.308109230769263</v>
      </c>
      <c r="I48" s="17">
        <f t="shared" si="7"/>
        <v>-12.20085519999996</v>
      </c>
      <c r="J48" s="17">
        <f t="shared" si="7"/>
        <v>-17.497548932923145</v>
      </c>
      <c r="K48" s="17">
        <f t="shared" si="7"/>
        <v>-22.519614631679922</v>
      </c>
      <c r="L48" s="17">
        <f t="shared" si="7"/>
        <v>-85.640698070630322</v>
      </c>
      <c r="M48" s="17">
        <f t="shared" si="7"/>
        <v>-90.088544012749125</v>
      </c>
      <c r="N48" s="17">
        <f t="shared" si="7"/>
        <v>-94.23629648697792</v>
      </c>
      <c r="O48" s="17">
        <f t="shared" si="7"/>
        <v>-98.074952689279456</v>
      </c>
      <c r="P48" s="17">
        <f t="shared" si="7"/>
        <v>-101.59523973149632</v>
      </c>
    </row>
    <row r="49" spans="1:18" ht="15" x14ac:dyDescent="0.25">
      <c r="A49" s="3"/>
      <c r="B49" s="3"/>
      <c r="C49" s="3"/>
      <c r="D49" s="3"/>
      <c r="E49" s="3"/>
      <c r="F49" s="3"/>
      <c r="G49" s="9"/>
    </row>
    <row r="50" spans="1:18" ht="15" x14ac:dyDescent="0.25">
      <c r="A50" s="3"/>
      <c r="B50" s="3"/>
      <c r="C50" s="3"/>
      <c r="D50" s="3"/>
      <c r="E50" s="3"/>
      <c r="F50" s="3"/>
      <c r="G50" s="15"/>
    </row>
    <row r="51" spans="1:18" ht="15" x14ac:dyDescent="0.25">
      <c r="A51" s="3"/>
      <c r="B51" s="3" t="s">
        <v>50</v>
      </c>
      <c r="C51" s="3"/>
      <c r="D51" s="3"/>
      <c r="E51" s="3"/>
      <c r="F51" s="3"/>
      <c r="G51" s="31">
        <f>G6-G10</f>
        <v>-1160</v>
      </c>
      <c r="H51" s="31">
        <f t="shared" ref="H51:P51" si="8">H6-H10</f>
        <v>-1160</v>
      </c>
      <c r="I51" s="31">
        <f t="shared" si="8"/>
        <v>-1160</v>
      </c>
      <c r="J51" s="31">
        <f t="shared" si="8"/>
        <v>13840</v>
      </c>
      <c r="K51" s="31">
        <f t="shared" si="8"/>
        <v>44590</v>
      </c>
      <c r="L51" s="31">
        <f t="shared" si="8"/>
        <v>89792.5</v>
      </c>
      <c r="M51" s="31">
        <f t="shared" si="8"/>
        <v>151978.22500000009</v>
      </c>
      <c r="N51" s="31">
        <f t="shared" si="8"/>
        <v>234823.42975000013</v>
      </c>
      <c r="O51" s="31">
        <f t="shared" si="8"/>
        <v>360220.94421250012</v>
      </c>
      <c r="P51" s="31">
        <f t="shared" si="8"/>
        <v>456359.03863375029</v>
      </c>
      <c r="R51" s="86">
        <f>P51-R8</f>
        <v>456359.03863375029</v>
      </c>
    </row>
    <row r="52" spans="1:18" ht="15" x14ac:dyDescent="0.25">
      <c r="A52" s="3"/>
      <c r="B52" s="3" t="s">
        <v>51</v>
      </c>
      <c r="C52" s="2"/>
      <c r="D52" s="2"/>
      <c r="E52" s="2"/>
      <c r="F52" s="3"/>
      <c r="G52" s="31">
        <f>G46</f>
        <v>-914.07999999999811</v>
      </c>
      <c r="H52" s="31">
        <f>G52+H46</f>
        <v>-1710.1016799999998</v>
      </c>
      <c r="I52" s="31">
        <f t="shared" ref="I52:P52" si="9">H52+I46</f>
        <v>-2344.5461503999977</v>
      </c>
      <c r="J52" s="31">
        <f t="shared" si="9"/>
        <v>-3254.4186949120012</v>
      </c>
      <c r="K52" s="31">
        <f t="shared" si="9"/>
        <v>-4425.4386557593571</v>
      </c>
      <c r="L52" s="31">
        <f t="shared" si="9"/>
        <v>-8878.754955432134</v>
      </c>
      <c r="M52" s="31">
        <f t="shared" si="9"/>
        <v>-13563.359244095089</v>
      </c>
      <c r="N52" s="31">
        <f t="shared" si="9"/>
        <v>-18463.646661417941</v>
      </c>
      <c r="O52" s="31">
        <f t="shared" si="9"/>
        <v>-23563.544201260473</v>
      </c>
      <c r="P52" s="31">
        <f t="shared" si="9"/>
        <v>-28846.496667298281</v>
      </c>
    </row>
    <row r="53" spans="1:18" ht="14.25" customHeight="1" x14ac:dyDescent="0.25">
      <c r="A53" s="3"/>
      <c r="B53" s="3"/>
      <c r="C53" s="3"/>
      <c r="D53" s="3"/>
      <c r="E53" s="3"/>
      <c r="F53" s="3"/>
      <c r="G53" s="9"/>
    </row>
    <row r="54" spans="1:18" ht="15" hidden="1" x14ac:dyDescent="0.25">
      <c r="A54" s="3"/>
      <c r="B54" s="10"/>
      <c r="C54" s="10"/>
      <c r="D54" s="10"/>
      <c r="E54" s="10"/>
      <c r="F54" s="10"/>
      <c r="G54" s="11"/>
    </row>
    <row r="55" spans="1:18" hidden="1" x14ac:dyDescent="0.25">
      <c r="B55" s="12"/>
      <c r="C55" s="12"/>
      <c r="D55" s="12"/>
      <c r="E55" s="12"/>
      <c r="F55" s="12"/>
      <c r="G55" s="12"/>
    </row>
    <row r="56" spans="1:18" hidden="1" x14ac:dyDescent="0.25">
      <c r="A56" s="1"/>
      <c r="B56" s="13"/>
      <c r="C56" s="14"/>
      <c r="D56" s="13"/>
      <c r="E56" s="13"/>
      <c r="F56" s="13"/>
      <c r="G56" s="13"/>
    </row>
    <row r="57" spans="1:18" hidden="1" x14ac:dyDescent="0.25">
      <c r="A57" s="1"/>
      <c r="B57" s="1"/>
      <c r="C57" s="1"/>
      <c r="D57" s="1"/>
      <c r="E57" s="1"/>
      <c r="F57" s="1"/>
      <c r="G57" s="1"/>
    </row>
    <row r="58" spans="1:18" ht="29.4" x14ac:dyDescent="0.45">
      <c r="A58" s="1"/>
      <c r="B58" s="201"/>
      <c r="C58" s="201"/>
      <c r="D58" s="201"/>
      <c r="E58" s="201"/>
      <c r="F58" s="201"/>
      <c r="G58" s="201"/>
    </row>
    <row r="59" spans="1:18" ht="29.4" x14ac:dyDescent="0.45">
      <c r="A59" s="1"/>
      <c r="B59" s="38" t="s">
        <v>53</v>
      </c>
      <c r="C59" s="119"/>
      <c r="D59" s="119"/>
      <c r="E59" s="119"/>
      <c r="F59" s="119"/>
      <c r="G59" s="119"/>
    </row>
    <row r="60" spans="1:18" ht="29.4" x14ac:dyDescent="0.45">
      <c r="A60" s="1"/>
      <c r="B60" s="119"/>
      <c r="C60" s="119"/>
      <c r="D60" s="119"/>
      <c r="E60" s="119"/>
      <c r="F60" s="119"/>
      <c r="G60" s="119"/>
    </row>
    <row r="61" spans="1:18" ht="15" x14ac:dyDescent="0.25">
      <c r="A61" s="1"/>
      <c r="B61" s="39" t="s">
        <v>54</v>
      </c>
      <c r="C61" s="40"/>
      <c r="D61" s="40"/>
      <c r="E61" s="40"/>
      <c r="F61" s="40"/>
      <c r="G61" s="40"/>
    </row>
    <row r="62" spans="1:18" ht="15" x14ac:dyDescent="0.25">
      <c r="A62" s="1"/>
      <c r="B62" s="41"/>
      <c r="C62" s="41"/>
      <c r="D62" s="41"/>
      <c r="E62" s="41"/>
      <c r="F62" s="41"/>
      <c r="G62" s="41"/>
    </row>
    <row r="63" spans="1:18" ht="15" x14ac:dyDescent="0.25">
      <c r="A63" s="1"/>
      <c r="B63" s="3" t="s">
        <v>55</v>
      </c>
      <c r="C63" s="41"/>
      <c r="D63" s="41"/>
      <c r="E63" s="41"/>
      <c r="F63" s="41"/>
      <c r="G63" s="41"/>
    </row>
    <row r="64" spans="1:18" ht="15" x14ac:dyDescent="0.25">
      <c r="A64" s="3"/>
      <c r="B64" s="3"/>
      <c r="C64" s="3"/>
      <c r="D64" s="3"/>
      <c r="E64" s="3"/>
      <c r="F64" s="3"/>
      <c r="G64" s="3"/>
    </row>
    <row r="65" spans="1:7" ht="15" x14ac:dyDescent="0.25">
      <c r="A65" s="3"/>
      <c r="B65" s="3" t="s">
        <v>56</v>
      </c>
      <c r="C65" s="3"/>
      <c r="D65" s="3"/>
      <c r="E65" s="3"/>
      <c r="F65" s="3"/>
      <c r="G65" s="3"/>
    </row>
    <row r="66" spans="1:7" ht="15" x14ac:dyDescent="0.25">
      <c r="A66" s="3"/>
      <c r="B66" s="4"/>
      <c r="C66" s="3"/>
      <c r="D66" s="3"/>
      <c r="E66" s="3"/>
      <c r="F66" s="3"/>
      <c r="G66" s="3"/>
    </row>
    <row r="67" spans="1:7" ht="15" x14ac:dyDescent="0.25">
      <c r="A67" s="3"/>
      <c r="B67" s="3" t="s">
        <v>57</v>
      </c>
      <c r="C67" s="3"/>
      <c r="D67" s="3"/>
      <c r="E67" s="3"/>
      <c r="F67" s="3"/>
      <c r="G67" s="3"/>
    </row>
    <row r="68" spans="1:7" ht="15" x14ac:dyDescent="0.25">
      <c r="A68" s="3"/>
      <c r="B68" s="3"/>
      <c r="C68" s="3"/>
      <c r="D68" s="3"/>
      <c r="E68" s="3"/>
      <c r="F68" s="3"/>
      <c r="G68" s="3"/>
    </row>
    <row r="69" spans="1:7" ht="15" x14ac:dyDescent="0.25">
      <c r="A69" s="3"/>
      <c r="B69" s="3" t="s">
        <v>58</v>
      </c>
      <c r="C69" s="3"/>
      <c r="D69" s="3"/>
      <c r="E69" s="3"/>
      <c r="F69" s="3"/>
      <c r="G69" s="3"/>
    </row>
    <row r="70" spans="1:7" ht="15" x14ac:dyDescent="0.25">
      <c r="A70" s="3"/>
      <c r="B70" s="3"/>
      <c r="C70" s="3"/>
      <c r="D70" s="3"/>
      <c r="E70" s="3"/>
      <c r="F70" s="3"/>
      <c r="G70" s="3"/>
    </row>
    <row r="71" spans="1:7" ht="15" x14ac:dyDescent="0.25">
      <c r="A71" s="3"/>
      <c r="B71" s="3" t="s">
        <v>60</v>
      </c>
      <c r="C71" s="3"/>
      <c r="D71" s="3"/>
      <c r="E71" s="3"/>
      <c r="F71" s="3"/>
      <c r="G71" s="3" t="s">
        <v>88</v>
      </c>
    </row>
    <row r="72" spans="1:7" ht="15" x14ac:dyDescent="0.25">
      <c r="A72" s="3"/>
      <c r="B72" s="3"/>
      <c r="C72" s="3"/>
      <c r="D72" s="3"/>
      <c r="E72" s="3"/>
      <c r="F72" s="3"/>
      <c r="G72" s="3"/>
    </row>
    <row r="73" spans="1:7" ht="15" x14ac:dyDescent="0.25">
      <c r="A73" s="3"/>
      <c r="B73" s="3"/>
      <c r="C73" s="3"/>
      <c r="D73" s="3"/>
      <c r="E73" s="3"/>
      <c r="F73" s="3"/>
      <c r="G73" s="3"/>
    </row>
    <row r="74" spans="1:7" ht="15" x14ac:dyDescent="0.25">
      <c r="A74" s="3"/>
      <c r="B74" s="3"/>
      <c r="C74" s="3"/>
      <c r="D74" s="3"/>
      <c r="E74" s="3"/>
      <c r="F74" s="3"/>
      <c r="G74" s="3"/>
    </row>
    <row r="75" spans="1:7" ht="15" x14ac:dyDescent="0.25">
      <c r="A75" s="3"/>
      <c r="B75" s="3"/>
      <c r="C75" s="3"/>
      <c r="D75" s="3"/>
      <c r="E75" s="3"/>
      <c r="F75" s="3"/>
      <c r="G75" s="3"/>
    </row>
    <row r="76" spans="1:7" ht="15" x14ac:dyDescent="0.25">
      <c r="A76" s="3"/>
      <c r="B76" s="3"/>
      <c r="C76" s="3"/>
      <c r="D76" s="3"/>
      <c r="E76" s="3"/>
      <c r="F76" s="3"/>
      <c r="G76" s="3"/>
    </row>
    <row r="77" spans="1:7" ht="15" x14ac:dyDescent="0.25">
      <c r="A77" s="3"/>
      <c r="B77" s="3"/>
      <c r="C77" s="3"/>
      <c r="D77" s="3"/>
      <c r="E77" s="3"/>
      <c r="F77" s="3"/>
      <c r="G77" s="3"/>
    </row>
    <row r="78" spans="1:7" ht="15" x14ac:dyDescent="0.25">
      <c r="A78" s="3"/>
      <c r="B78" s="3"/>
      <c r="C78" s="3"/>
      <c r="D78" s="3"/>
      <c r="E78" s="3"/>
      <c r="F78" s="3"/>
      <c r="G78" s="3"/>
    </row>
    <row r="79" spans="1:7" ht="15" x14ac:dyDescent="0.25">
      <c r="A79" s="3"/>
      <c r="B79" s="3"/>
      <c r="C79" s="3"/>
      <c r="D79" s="3"/>
      <c r="E79" s="3"/>
      <c r="F79" s="3"/>
      <c r="G79" s="3"/>
    </row>
    <row r="80" spans="1:7" ht="15" x14ac:dyDescent="0.25">
      <c r="A80" s="3"/>
      <c r="B80" s="3"/>
      <c r="C80" s="3"/>
      <c r="D80" s="3"/>
      <c r="E80" s="3"/>
      <c r="F80" s="3"/>
      <c r="G80" s="3"/>
    </row>
    <row r="81" spans="1:7" ht="15" x14ac:dyDescent="0.25">
      <c r="A81" s="3"/>
      <c r="B81" s="3"/>
      <c r="C81" s="3"/>
      <c r="D81" s="3"/>
      <c r="E81" s="3"/>
      <c r="F81" s="3"/>
      <c r="G81" s="3"/>
    </row>
    <row r="82" spans="1:7" ht="15" x14ac:dyDescent="0.25">
      <c r="A82" s="3"/>
      <c r="B82" s="3"/>
      <c r="C82" s="3"/>
      <c r="D82" s="3"/>
      <c r="E82" s="3"/>
      <c r="F82" s="3"/>
      <c r="G82" s="3"/>
    </row>
    <row r="83" spans="1:7" ht="15" x14ac:dyDescent="0.25">
      <c r="A83" s="3"/>
      <c r="B83" s="3"/>
      <c r="C83" s="3"/>
      <c r="D83" s="3"/>
      <c r="E83" s="3"/>
      <c r="F83" s="3"/>
      <c r="G83" s="3"/>
    </row>
    <row r="84" spans="1:7" ht="15" x14ac:dyDescent="0.25">
      <c r="A84" s="3"/>
      <c r="B84" s="3"/>
      <c r="C84" s="3"/>
      <c r="D84" s="3"/>
      <c r="E84" s="3"/>
      <c r="F84" s="3"/>
      <c r="G84" s="3"/>
    </row>
    <row r="85" spans="1:7" ht="15" x14ac:dyDescent="0.25">
      <c r="A85" s="3"/>
      <c r="B85" s="3"/>
      <c r="C85" s="3"/>
      <c r="D85" s="3"/>
      <c r="E85" s="3"/>
      <c r="F85" s="3"/>
      <c r="G85" s="3"/>
    </row>
    <row r="86" spans="1:7" ht="15" x14ac:dyDescent="0.25">
      <c r="A86" s="3"/>
      <c r="B86" s="3"/>
      <c r="C86" s="3"/>
      <c r="D86" s="3"/>
      <c r="E86" s="3"/>
      <c r="F86" s="3"/>
      <c r="G86" s="3"/>
    </row>
    <row r="87" spans="1:7" ht="15" x14ac:dyDescent="0.25">
      <c r="A87" s="3"/>
      <c r="B87" s="3"/>
      <c r="C87" s="3"/>
      <c r="D87" s="3"/>
      <c r="E87" s="3"/>
      <c r="F87" s="3"/>
      <c r="G87" s="3"/>
    </row>
    <row r="88" spans="1:7" ht="15" x14ac:dyDescent="0.25">
      <c r="A88" s="3"/>
      <c r="B88" s="2"/>
      <c r="C88" s="2"/>
      <c r="D88" s="2"/>
      <c r="E88" s="2"/>
      <c r="F88" s="2"/>
      <c r="G88" s="2"/>
    </row>
    <row r="89" spans="1:7" ht="15" x14ac:dyDescent="0.25">
      <c r="A89" s="3"/>
      <c r="B89" s="2"/>
      <c r="C89" s="2"/>
      <c r="D89" s="2"/>
      <c r="E89" s="2"/>
      <c r="F89" s="2"/>
      <c r="G89" s="2"/>
    </row>
    <row r="90" spans="1:7" ht="15" x14ac:dyDescent="0.25">
      <c r="A90" s="3"/>
      <c r="B90" s="2"/>
      <c r="C90" s="2"/>
      <c r="D90" s="2"/>
      <c r="E90" s="2"/>
      <c r="F90" s="2"/>
      <c r="G90" s="2"/>
    </row>
    <row r="91" spans="1:7" ht="15" x14ac:dyDescent="0.25">
      <c r="A91" s="3"/>
      <c r="B91" s="2"/>
      <c r="C91" s="2"/>
      <c r="D91" s="2"/>
      <c r="E91" s="2"/>
      <c r="F91" s="2"/>
      <c r="G91" s="2"/>
    </row>
    <row r="92" spans="1:7" ht="15" x14ac:dyDescent="0.25">
      <c r="A92" s="3"/>
      <c r="B92" s="5"/>
      <c r="C92" s="5"/>
      <c r="D92" s="5"/>
      <c r="E92" s="5"/>
      <c r="F92" s="5"/>
      <c r="G92" s="5"/>
    </row>
    <row r="93" spans="1:7" ht="15" x14ac:dyDescent="0.25">
      <c r="B93" s="6"/>
      <c r="C93" s="6"/>
      <c r="D93" s="6"/>
      <c r="E93" s="6"/>
      <c r="F93" s="7"/>
      <c r="G93" s="6"/>
    </row>
  </sheetData>
  <sheetProtection algorithmName="SHA-512" hashValue="EKHiQIcHNdnFNcC+mhIdNqiIL6pv2orjrdTwr7+R7t/FupSPP0JttR40k+KZQs4YV6CCBXrLlILu6NDFXDzN2A==" saltValue="wYxqgVDbJZqHGkzWtcdcMg==" spinCount="100000" sheet="1" selectLockedCells="1"/>
  <mergeCells count="3">
    <mergeCell ref="A1:G1"/>
    <mergeCell ref="E2:H2"/>
    <mergeCell ref="B58:G58"/>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C35A-AD82-4519-9F8A-04D1145AB9B4}">
  <sheetPr codeName="Sheet16">
    <pageSetUpPr fitToPage="1"/>
  </sheetPr>
  <dimension ref="A1:R93"/>
  <sheetViews>
    <sheetView zoomScaleNormal="100" workbookViewId="0">
      <pane xSplit="7" ySplit="18" topLeftCell="H28" activePane="bottomRight" state="frozen"/>
      <selection pane="topRight" activeCell="H1" sqref="H1"/>
      <selection pane="bottomLeft" activeCell="A19" sqref="A19"/>
      <selection pane="bottomRight" activeCell="G8" sqref="G8"/>
    </sheetView>
  </sheetViews>
  <sheetFormatPr defaultRowHeight="13.2" x14ac:dyDescent="0.25"/>
  <cols>
    <col min="1" max="1" width="3.5546875" customWidth="1"/>
    <col min="2" max="2" width="20" customWidth="1"/>
    <col min="3" max="3" width="12.88671875" customWidth="1"/>
    <col min="4" max="4" width="13" bestFit="1" customWidth="1"/>
    <col min="5" max="5" width="13.33203125" customWidth="1"/>
    <col min="6" max="6" width="6.109375" customWidth="1"/>
    <col min="7" max="7" width="16" bestFit="1" customWidth="1"/>
    <col min="8" max="8" width="11.88671875" customWidth="1"/>
    <col min="9" max="10" width="11.6640625" customWidth="1"/>
    <col min="11" max="11" width="11.44140625" customWidth="1"/>
    <col min="12" max="12" width="11.88671875" customWidth="1"/>
    <col min="13" max="13" width="12.44140625" customWidth="1"/>
    <col min="14" max="14" width="12" customWidth="1"/>
    <col min="15" max="16" width="11.6640625" customWidth="1"/>
  </cols>
  <sheetData>
    <row r="1" spans="1:18" ht="55.5" customHeight="1" x14ac:dyDescent="0.25">
      <c r="A1" s="198"/>
      <c r="B1" s="198"/>
      <c r="C1" s="198"/>
      <c r="D1" s="198"/>
      <c r="E1" s="198"/>
      <c r="F1" s="198"/>
      <c r="G1" s="198"/>
      <c r="H1" s="1"/>
    </row>
    <row r="2" spans="1:18" ht="22.8" x14ac:dyDescent="0.4">
      <c r="A2" s="28"/>
      <c r="B2" s="29" t="s">
        <v>24</v>
      </c>
      <c r="C2" s="28"/>
      <c r="D2" s="28"/>
      <c r="E2" s="199"/>
      <c r="F2" s="200"/>
      <c r="G2" s="200"/>
      <c r="H2" s="200"/>
      <c r="K2" s="99">
        <v>5</v>
      </c>
      <c r="P2" s="99">
        <v>10</v>
      </c>
      <c r="Q2" s="1"/>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1"/>
      <c r="B4" s="1"/>
      <c r="C4" s="1"/>
      <c r="D4" s="1"/>
      <c r="E4" s="1"/>
      <c r="F4" s="1"/>
      <c r="G4" s="1"/>
    </row>
    <row r="5" spans="1:18" ht="1.5" customHeight="1" x14ac:dyDescent="0.25">
      <c r="A5" s="1"/>
      <c r="B5" s="3"/>
      <c r="C5" s="1"/>
      <c r="D5" s="8"/>
      <c r="E5" s="1"/>
      <c r="F5" s="1"/>
      <c r="G5" s="1"/>
    </row>
    <row r="6" spans="1:18" ht="15" x14ac:dyDescent="0.25">
      <c r="A6" s="3"/>
      <c r="B6" s="3" t="s">
        <v>21</v>
      </c>
      <c r="C6" s="3"/>
      <c r="D6" s="26"/>
      <c r="E6" s="27"/>
      <c r="F6" s="3"/>
      <c r="G6" s="33">
        <f>'p5b one year'!D6+'p5b one year'!D7</f>
        <v>350000</v>
      </c>
      <c r="H6" s="33">
        <f>G6*(1+'Data to enter'!G4)</f>
        <v>350000</v>
      </c>
      <c r="I6" s="33">
        <f>H6*(1+'Data to enter'!H4)</f>
        <v>350000</v>
      </c>
      <c r="J6" s="33">
        <f>I6*(1+'Data to enter'!I4)</f>
        <v>358749.99999999994</v>
      </c>
      <c r="K6" s="33">
        <f>J6*(1+'Data to enter'!J4)</f>
        <v>376687.49999999994</v>
      </c>
      <c r="L6" s="33">
        <f>K6*(1+'Data to enter'!K4)</f>
        <v>403055.62499999994</v>
      </c>
      <c r="M6" s="33">
        <f>L6*(1+'Data to enter'!L4)</f>
        <v>439330.63124999998</v>
      </c>
      <c r="N6" s="33">
        <f>M6*(1+'Data to enter'!M4)</f>
        <v>487657.0006875</v>
      </c>
      <c r="O6" s="33">
        <f>N6*(1+'Data to enter'!N4)</f>
        <v>560805.55079062493</v>
      </c>
      <c r="P6" s="33">
        <f>O6*(1+'Data to enter'!O4)</f>
        <v>616886.10586968751</v>
      </c>
    </row>
    <row r="7" spans="1:18" ht="15" x14ac:dyDescent="0.25">
      <c r="A7" s="3"/>
      <c r="B7" s="3"/>
      <c r="C7" s="3"/>
      <c r="D7" s="27"/>
      <c r="E7" s="26"/>
      <c r="F7" s="3"/>
      <c r="G7" s="31"/>
      <c r="H7" s="86"/>
      <c r="I7" s="86"/>
      <c r="J7" s="86"/>
      <c r="K7" s="86"/>
      <c r="L7" s="86"/>
      <c r="M7" s="86"/>
      <c r="N7" s="86"/>
      <c r="O7" s="86"/>
      <c r="P7" s="86"/>
    </row>
    <row r="8" spans="1:18" ht="15" x14ac:dyDescent="0.25">
      <c r="A8" s="3"/>
      <c r="B8" s="3" t="s">
        <v>59</v>
      </c>
      <c r="C8" s="3"/>
      <c r="D8" s="27"/>
      <c r="E8" s="26"/>
      <c r="F8" s="3"/>
      <c r="G8" s="101">
        <f>'p5b one year'!E11</f>
        <v>0</v>
      </c>
      <c r="H8" s="116"/>
      <c r="I8" s="116"/>
      <c r="J8" s="116"/>
      <c r="K8" s="116"/>
      <c r="L8" s="116"/>
      <c r="M8" s="116"/>
      <c r="N8" s="116"/>
      <c r="O8" s="116"/>
      <c r="P8" s="116"/>
      <c r="Q8" s="32"/>
      <c r="R8" s="32">
        <f>SUM(G8:P8)</f>
        <v>0</v>
      </c>
    </row>
    <row r="9" spans="1:18" ht="15" x14ac:dyDescent="0.25">
      <c r="A9" s="3"/>
      <c r="B9" s="3"/>
      <c r="C9" s="3"/>
      <c r="D9" s="27"/>
      <c r="E9" s="27"/>
      <c r="F9" s="3"/>
      <c r="G9" s="31"/>
      <c r="H9" s="86"/>
      <c r="I9" s="86"/>
      <c r="J9" s="86"/>
      <c r="K9" s="86"/>
      <c r="L9" s="86"/>
      <c r="M9" s="86"/>
      <c r="N9" s="86"/>
      <c r="O9" s="86"/>
      <c r="P9" s="86"/>
    </row>
    <row r="10" spans="1:18" ht="15" x14ac:dyDescent="0.25">
      <c r="A10" s="3"/>
      <c r="B10" s="4" t="s">
        <v>9</v>
      </c>
      <c r="C10" s="3"/>
      <c r="D10" s="27"/>
      <c r="E10" s="26"/>
      <c r="F10" s="3"/>
      <c r="G10" s="31">
        <f>'p5b one year'!E13</f>
        <v>349500</v>
      </c>
      <c r="H10" s="31">
        <f>G10-H8</f>
        <v>349500</v>
      </c>
      <c r="I10" s="31">
        <f t="shared" ref="I10:P10" si="0">H10-I8</f>
        <v>349500</v>
      </c>
      <c r="J10" s="31">
        <f t="shared" si="0"/>
        <v>349500</v>
      </c>
      <c r="K10" s="31">
        <f t="shared" si="0"/>
        <v>349500</v>
      </c>
      <c r="L10" s="31">
        <f t="shared" si="0"/>
        <v>349500</v>
      </c>
      <c r="M10" s="31">
        <f t="shared" si="0"/>
        <v>349500</v>
      </c>
      <c r="N10" s="31">
        <f t="shared" si="0"/>
        <v>349500</v>
      </c>
      <c r="O10" s="31">
        <f t="shared" si="0"/>
        <v>349500</v>
      </c>
      <c r="P10" s="31">
        <f t="shared" si="0"/>
        <v>349500</v>
      </c>
    </row>
    <row r="11" spans="1:18" ht="8.25" customHeight="1" x14ac:dyDescent="0.25">
      <c r="A11" s="3"/>
      <c r="B11" s="3"/>
      <c r="C11" s="3"/>
      <c r="D11" s="8"/>
      <c r="E11" s="8"/>
      <c r="F11" s="3"/>
      <c r="G11" s="31"/>
      <c r="H11" s="86"/>
      <c r="I11" s="86"/>
      <c r="J11" s="86"/>
      <c r="K11" s="86"/>
      <c r="L11" s="86"/>
      <c r="M11" s="86"/>
      <c r="N11" s="86"/>
      <c r="O11" s="86"/>
      <c r="P11" s="86"/>
    </row>
    <row r="12" spans="1:18" ht="17.399999999999999" x14ac:dyDescent="0.3">
      <c r="A12" s="3"/>
      <c r="B12" s="19" t="s">
        <v>0</v>
      </c>
      <c r="C12" s="3"/>
      <c r="D12" s="3"/>
      <c r="E12" s="3"/>
      <c r="F12" s="3"/>
      <c r="G12" s="31"/>
      <c r="H12" s="86"/>
      <c r="I12" s="86"/>
      <c r="J12" s="86"/>
      <c r="K12" s="86"/>
      <c r="L12" s="86"/>
      <c r="M12" s="86"/>
      <c r="N12" s="86"/>
      <c r="O12" s="86"/>
      <c r="P12" s="86"/>
    </row>
    <row r="13" spans="1:18" ht="8.25" customHeight="1" x14ac:dyDescent="0.25">
      <c r="A13" s="3"/>
      <c r="B13" s="3"/>
      <c r="C13" s="3"/>
      <c r="D13" s="3"/>
      <c r="E13" s="3"/>
      <c r="F13" s="3"/>
      <c r="G13" s="31"/>
      <c r="H13" s="86"/>
      <c r="I13" s="86"/>
      <c r="J13" s="86"/>
      <c r="K13" s="86"/>
      <c r="L13" s="86"/>
      <c r="M13" s="86"/>
      <c r="N13" s="86"/>
      <c r="O13" s="86"/>
      <c r="P13" s="86"/>
    </row>
    <row r="14" spans="1:18" ht="15" x14ac:dyDescent="0.25">
      <c r="A14" s="3"/>
      <c r="B14" s="3" t="s">
        <v>27</v>
      </c>
      <c r="C14" s="3" t="s">
        <v>25</v>
      </c>
      <c r="D14" s="22">
        <f>'p5b one year'!D17</f>
        <v>52</v>
      </c>
      <c r="E14" s="3"/>
      <c r="F14" s="3"/>
      <c r="G14" s="31">
        <f>D14*D15</f>
        <v>28600</v>
      </c>
      <c r="H14" s="33">
        <f>G14*(1+'Data to enter'!F6)</f>
        <v>29458</v>
      </c>
      <c r="I14" s="33">
        <f>H14*(1+'Data to enter'!G6)</f>
        <v>30341.74</v>
      </c>
      <c r="J14" s="33">
        <f>I14*(1+'Data to enter'!H6)</f>
        <v>31251.992200000004</v>
      </c>
      <c r="K14" s="33">
        <f>J14*(1+'Data to enter'!I6)</f>
        <v>32189.551966000006</v>
      </c>
      <c r="L14" s="33">
        <f>K14*(1+'Data to enter'!J6)</f>
        <v>33155.238524980006</v>
      </c>
      <c r="M14" s="33">
        <f>L14*(1+'Data to enter'!K6)</f>
        <v>34149.895680729409</v>
      </c>
      <c r="N14" s="33">
        <f>M14*(1+'Data to enter'!L6)</f>
        <v>35174.392551151293</v>
      </c>
      <c r="O14" s="33">
        <f>N14*(1+'Data to enter'!M6)</f>
        <v>36229.624327685837</v>
      </c>
      <c r="P14" s="33">
        <f>O14*(1+'Data to enter'!N6)</f>
        <v>37316.513057516415</v>
      </c>
    </row>
    <row r="15" spans="1:18" ht="15" x14ac:dyDescent="0.25">
      <c r="A15" s="3"/>
      <c r="B15" s="3"/>
      <c r="C15" s="3" t="s">
        <v>26</v>
      </c>
      <c r="D15" s="102">
        <f>'p5b one year'!D18</f>
        <v>550</v>
      </c>
      <c r="E15" s="3"/>
      <c r="F15" s="3"/>
      <c r="G15" s="3"/>
    </row>
    <row r="16" spans="1:18" ht="15" x14ac:dyDescent="0.25">
      <c r="A16" s="3"/>
      <c r="B16" s="3"/>
      <c r="C16" s="3"/>
      <c r="D16" s="3" t="s">
        <v>11</v>
      </c>
      <c r="E16" s="3"/>
      <c r="F16" s="3"/>
      <c r="G16" s="15">
        <f>G14/G6</f>
        <v>8.1714285714285712E-2</v>
      </c>
    </row>
    <row r="17" spans="1:18" ht="6.75" customHeight="1" x14ac:dyDescent="0.25">
      <c r="A17" s="3"/>
      <c r="B17" s="3"/>
      <c r="C17" s="3"/>
      <c r="D17" s="3"/>
      <c r="E17" s="3"/>
      <c r="F17" s="3"/>
      <c r="G17" s="3"/>
    </row>
    <row r="18" spans="1:18" ht="24" customHeight="1" x14ac:dyDescent="0.3">
      <c r="A18" s="3"/>
      <c r="B18" s="20" t="s">
        <v>1</v>
      </c>
      <c r="C18" s="18"/>
      <c r="D18" s="3"/>
      <c r="E18" s="3"/>
      <c r="F18" s="3"/>
      <c r="G18" s="3"/>
    </row>
    <row r="19" spans="1:18" ht="15" x14ac:dyDescent="0.25">
      <c r="A19" s="3"/>
      <c r="B19" s="3"/>
      <c r="C19" s="3"/>
      <c r="D19" s="3"/>
      <c r="E19" s="3"/>
      <c r="F19" s="3"/>
      <c r="G19" s="3"/>
    </row>
    <row r="20" spans="1:18" ht="15" x14ac:dyDescent="0.25">
      <c r="A20" s="3"/>
      <c r="B20" s="3" t="s">
        <v>7</v>
      </c>
      <c r="C20" s="3"/>
      <c r="D20" s="3"/>
      <c r="E20" s="34"/>
      <c r="F20" s="34"/>
      <c r="G20" s="35">
        <f>'p5b one year'!G23</f>
        <v>200</v>
      </c>
      <c r="H20" s="33">
        <f>G20*(1+'Data to enter'!F8)</f>
        <v>206</v>
      </c>
      <c r="I20" s="33">
        <f>H20*(1+'Data to enter'!G8)</f>
        <v>212.18</v>
      </c>
      <c r="J20" s="33">
        <f>I20*(1+'Data to enter'!H8)</f>
        <v>218.5454</v>
      </c>
      <c r="K20" s="33">
        <f>J20*(1+'Data to enter'!I8)</f>
        <v>225.10176200000001</v>
      </c>
      <c r="L20" s="33">
        <f>K20*(1+'Data to enter'!J8)</f>
        <v>231.85481486</v>
      </c>
      <c r="M20" s="33">
        <f>L20*(1+'Data to enter'!K8)</f>
        <v>238.81045930580001</v>
      </c>
      <c r="N20" s="33">
        <f>M20*(1+'Data to enter'!L8)</f>
        <v>245.974773084974</v>
      </c>
      <c r="O20" s="33">
        <f>N20*(1+'Data to enter'!M8)</f>
        <v>253.35401627752324</v>
      </c>
      <c r="P20" s="33">
        <f>O20*(1+'Data to enter'!N8)</f>
        <v>260.95463676584893</v>
      </c>
    </row>
    <row r="21" spans="1:18" ht="15" x14ac:dyDescent="0.25">
      <c r="A21" s="3"/>
      <c r="B21" s="3" t="s">
        <v>8</v>
      </c>
      <c r="C21" s="3"/>
      <c r="D21" s="3"/>
      <c r="E21" s="34"/>
      <c r="F21" s="34"/>
      <c r="G21" s="35">
        <f>'p5b one year'!G24</f>
        <v>50</v>
      </c>
      <c r="H21" s="33">
        <f>G21*(1+'Data to enter'!F8)</f>
        <v>51.5</v>
      </c>
      <c r="I21" s="33">
        <f>H21*(1+'Data to enter'!G8)</f>
        <v>53.045000000000002</v>
      </c>
      <c r="J21" s="33">
        <f>I21*(1+'Data to enter'!H8)</f>
        <v>54.63635</v>
      </c>
      <c r="K21" s="33">
        <f>J21*(1+'Data to enter'!I8)</f>
        <v>56.275440500000002</v>
      </c>
      <c r="L21" s="33">
        <f>K21*(1+'Data to enter'!J8)</f>
        <v>57.963703715000001</v>
      </c>
      <c r="M21" s="33">
        <f>L21*(1+'Data to enter'!K8)</f>
        <v>59.702614826450002</v>
      </c>
      <c r="N21" s="33">
        <f>M21*(1+'Data to enter'!L8)</f>
        <v>61.493693271243501</v>
      </c>
      <c r="O21" s="33">
        <f>N21*(1+'Data to enter'!M8)</f>
        <v>63.338504069380811</v>
      </c>
      <c r="P21" s="33">
        <f>O21*(1+'Data to enter'!N8)</f>
        <v>65.238659191462233</v>
      </c>
    </row>
    <row r="22" spans="1:18" ht="15" x14ac:dyDescent="0.25">
      <c r="A22" s="3"/>
      <c r="B22" s="3" t="s">
        <v>14</v>
      </c>
      <c r="C22" s="3"/>
      <c r="D22" s="3"/>
      <c r="E22" s="34"/>
      <c r="F22" s="34"/>
      <c r="G22" s="35">
        <f>'p5b one year'!G25</f>
        <v>0</v>
      </c>
      <c r="H22" s="33">
        <f>G22*(1+'Data to enter'!F8)</f>
        <v>0</v>
      </c>
      <c r="I22" s="33">
        <f>H22*(1+'Data to enter'!G8)</f>
        <v>0</v>
      </c>
      <c r="J22" s="33">
        <f>I22*(1+'Data to enter'!H8)</f>
        <v>0</v>
      </c>
      <c r="K22" s="33">
        <f>J22*(1+'Data to enter'!I8)</f>
        <v>0</v>
      </c>
      <c r="L22" s="33">
        <f>K22*(1+'Data to enter'!J8)</f>
        <v>0</v>
      </c>
      <c r="M22" s="33">
        <f>L22*(1+'Data to enter'!K8)</f>
        <v>0</v>
      </c>
      <c r="N22" s="33">
        <f>M22*(1+'Data to enter'!L8)</f>
        <v>0</v>
      </c>
      <c r="O22" s="33">
        <f>N22*(1+'Data to enter'!M8)</f>
        <v>0</v>
      </c>
      <c r="P22" s="33">
        <f>O22*(1+'Data to enter'!N8)</f>
        <v>0</v>
      </c>
    </row>
    <row r="23" spans="1:18" ht="15" x14ac:dyDescent="0.25">
      <c r="A23" s="3"/>
      <c r="B23" s="3" t="s">
        <v>2</v>
      </c>
      <c r="C23" s="3"/>
      <c r="D23" s="3"/>
      <c r="E23" s="34"/>
      <c r="F23" s="34"/>
      <c r="G23" s="35">
        <f>'p5b one year'!G26</f>
        <v>800</v>
      </c>
      <c r="H23" s="33">
        <f>G23*(1+'Data to enter'!F8)</f>
        <v>824</v>
      </c>
      <c r="I23" s="33">
        <f>H23*(1+'Data to enter'!G8)</f>
        <v>848.72</v>
      </c>
      <c r="J23" s="33">
        <f>I23*(1+'Data to enter'!H8)</f>
        <v>874.1816</v>
      </c>
      <c r="K23" s="33">
        <f>J23*(1+'Data to enter'!I8)</f>
        <v>900.40704800000003</v>
      </c>
      <c r="L23" s="33">
        <f>K23*(1+'Data to enter'!J8)</f>
        <v>927.41925944000002</v>
      </c>
      <c r="M23" s="33">
        <f>L23*(1+'Data to enter'!K8)</f>
        <v>955.24183722320004</v>
      </c>
      <c r="N23" s="33">
        <f>M23*(1+'Data to enter'!L8)</f>
        <v>983.89909233989601</v>
      </c>
      <c r="O23" s="33">
        <f>N23*(1+'Data to enter'!M8)</f>
        <v>1013.416065110093</v>
      </c>
      <c r="P23" s="33">
        <f>O23*(1+'Data to enter'!N8)</f>
        <v>1043.8185470633957</v>
      </c>
    </row>
    <row r="24" spans="1:18" ht="15" x14ac:dyDescent="0.25">
      <c r="A24" s="3"/>
      <c r="B24" s="3" t="s">
        <v>28</v>
      </c>
      <c r="C24" s="3"/>
      <c r="D24" s="3" t="s">
        <v>29</v>
      </c>
      <c r="E24" s="36"/>
      <c r="F24" s="34"/>
      <c r="G24" s="31">
        <f>(G10/2*'Data to enter'!F10)+('p5b 10 year'!G10/2*'Data to enter'!F11)</f>
        <v>9226.7999999999993</v>
      </c>
      <c r="H24" s="31">
        <f>(H10/2*'Data to enter'!G10)+('p5b 10 year'!H10/2*'Data to enter'!G11)</f>
        <v>9419.0249999999996</v>
      </c>
      <c r="I24" s="31">
        <f>(I10/2*'Data to enter'!H10)+('p5b 10 year'!I10/2*'Data to enter'!H11)</f>
        <v>9593.7749999999996</v>
      </c>
      <c r="J24" s="31">
        <f>(J10/2*'Data to enter'!I10)+('p5b 10 year'!J10/2*'Data to enter'!I11)</f>
        <v>10030.65</v>
      </c>
      <c r="K24" s="105">
        <f>(K10/2*'Data to enter'!J10)+('p5b 10 year'!K10/2*'Data to enter'!J11)</f>
        <v>10467.525</v>
      </c>
      <c r="L24" s="105">
        <f>(L10/2*'Data to enter'!K10)+('p5b 10 year'!L10/2*'Data to enter'!K11)</f>
        <v>12669.375</v>
      </c>
      <c r="M24" s="31">
        <f>(M10/2*'Data to enter'!L10)+('p5b 10 year'!M10/2*'Data to enter'!L11)</f>
        <v>13106.25</v>
      </c>
      <c r="N24" s="31">
        <f>(N10/2*'Data to enter'!M10)+('p5b 10 year'!N10/2*'Data to enter'!M11)</f>
        <v>13543.125</v>
      </c>
      <c r="O24" s="31">
        <f>(O10/2*'Data to enter'!N10)+('p5b 10 year'!O10/2*'Data to enter'!N11)</f>
        <v>13980</v>
      </c>
      <c r="P24" s="31">
        <f>(P10/2*'Data to enter'!O10)+('p5b 10 year'!P10/2*'Data to enter'!O11)</f>
        <v>14416.875</v>
      </c>
    </row>
    <row r="25" spans="1:18" ht="15" x14ac:dyDescent="0.25">
      <c r="A25" s="3"/>
      <c r="B25" s="3" t="s">
        <v>95</v>
      </c>
      <c r="C25" s="3"/>
      <c r="D25" s="3"/>
      <c r="E25" s="34"/>
      <c r="F25" s="34"/>
      <c r="G25" s="35">
        <f>'p5b one year'!G28</f>
        <v>2976.2</v>
      </c>
      <c r="H25" s="31">
        <f>G25*(1+'Data to enter'!F8)</f>
        <v>3065.4859999999999</v>
      </c>
      <c r="I25" s="31">
        <f>H25*(1+'Data to enter'!G8)</f>
        <v>3157.4505800000002</v>
      </c>
      <c r="J25" s="31">
        <f>I25*(1+'Data to enter'!H8)</f>
        <v>3252.1740974000004</v>
      </c>
      <c r="K25" s="31">
        <f>J25*(1+'Data to enter'!I8)</f>
        <v>3349.7393203220004</v>
      </c>
      <c r="L25" s="31">
        <f>K25*(1+'Data to enter'!J8)</f>
        <v>3450.2314999316604</v>
      </c>
      <c r="M25" s="31">
        <f>L25*(1+'Data to enter'!K8)</f>
        <v>3553.7384449296105</v>
      </c>
      <c r="N25" s="31">
        <f>M25*(1+'Data to enter'!L8)</f>
        <v>3660.3505982774991</v>
      </c>
      <c r="O25" s="31">
        <f>N25*(1+'Data to enter'!M8)</f>
        <v>3770.1611162258241</v>
      </c>
      <c r="P25" s="31">
        <f>O25*(1+'Data to enter'!N8)</f>
        <v>3883.2659497125987</v>
      </c>
    </row>
    <row r="26" spans="1:18" ht="15" x14ac:dyDescent="0.25">
      <c r="A26" s="3"/>
      <c r="B26" s="3" t="s">
        <v>3</v>
      </c>
      <c r="C26" s="3"/>
      <c r="D26" s="3"/>
      <c r="E26" s="34"/>
      <c r="F26" s="34"/>
      <c r="G26" s="35">
        <f>'p5b one year'!G29</f>
        <v>1500</v>
      </c>
      <c r="H26" s="31">
        <f>G26*(1+'Data to enter'!F8)</f>
        <v>1545</v>
      </c>
      <c r="I26" s="31">
        <f>H26*(1+'Data to enter'!G8)</f>
        <v>1591.3500000000001</v>
      </c>
      <c r="J26" s="31">
        <f>I26*(1+'Data to enter'!H8)</f>
        <v>1639.0905000000002</v>
      </c>
      <c r="K26" s="31">
        <f>J26*(1+'Data to enter'!I8)</f>
        <v>1688.2632150000004</v>
      </c>
      <c r="L26" s="31">
        <f>K26*(1+'Data to enter'!J8)</f>
        <v>1738.9111114500004</v>
      </c>
      <c r="M26" s="31">
        <f>L26*(1+'Data to enter'!K8)</f>
        <v>1791.0784447935005</v>
      </c>
      <c r="N26" s="31">
        <f>M26*(1+'Data to enter'!L8)</f>
        <v>1844.8107981373055</v>
      </c>
      <c r="O26" s="31">
        <f>N26*(1+'Data to enter'!M8)</f>
        <v>1900.1551220814247</v>
      </c>
      <c r="P26" s="31">
        <f>O26*(1+'Data to enter'!N8)</f>
        <v>1957.1597757438674</v>
      </c>
    </row>
    <row r="27" spans="1:18" ht="15" x14ac:dyDescent="0.25">
      <c r="A27" s="3"/>
      <c r="B27" s="3" t="s">
        <v>6</v>
      </c>
      <c r="C27" s="3"/>
      <c r="D27" s="3"/>
      <c r="E27" s="34"/>
      <c r="F27" s="34"/>
      <c r="G27" s="35">
        <f>'p5b one year'!G30</f>
        <v>500</v>
      </c>
      <c r="H27" s="31">
        <f>G27*(1+'Data to enter'!F8)</f>
        <v>515</v>
      </c>
      <c r="I27" s="31">
        <f>H27*(1+'Data to enter'!G8)</f>
        <v>530.45000000000005</v>
      </c>
      <c r="J27" s="31">
        <f>I27*(1+'Data to enter'!H8)</f>
        <v>546.36350000000004</v>
      </c>
      <c r="K27" s="31">
        <f>J27*(1+'Data to enter'!I8)</f>
        <v>562.75440500000002</v>
      </c>
      <c r="L27" s="31">
        <f>K27*(1+'Data to enter'!J8)</f>
        <v>579.63703715000008</v>
      </c>
      <c r="M27" s="31">
        <f>L27*(1+'Data to enter'!K8)</f>
        <v>597.02614826450008</v>
      </c>
      <c r="N27" s="31">
        <f>M27*(1+'Data to enter'!L8)</f>
        <v>614.93693271243512</v>
      </c>
      <c r="O27" s="31">
        <f>N27*(1+'Data to enter'!M8)</f>
        <v>633.38504069380815</v>
      </c>
      <c r="P27" s="31">
        <f>O27*(1+'Data to enter'!N8)</f>
        <v>652.38659191462239</v>
      </c>
    </row>
    <row r="28" spans="1:18" ht="15" x14ac:dyDescent="0.25">
      <c r="A28" s="3"/>
      <c r="B28" s="3" t="s">
        <v>22</v>
      </c>
      <c r="C28" s="3"/>
      <c r="D28" s="3"/>
      <c r="E28" s="34"/>
      <c r="F28" s="34"/>
      <c r="G28" s="35">
        <f>'p5b one year'!G31</f>
        <v>100</v>
      </c>
      <c r="H28" s="31">
        <f>G28*(1+'Data to enter'!F8)</f>
        <v>103</v>
      </c>
      <c r="I28" s="31">
        <f>H28*(1+'Data to enter'!G8)</f>
        <v>106.09</v>
      </c>
      <c r="J28" s="31">
        <f>I28*(1+'Data to enter'!H8)</f>
        <v>109.2727</v>
      </c>
      <c r="K28" s="31">
        <f>J28*(1+'Data to enter'!I8)</f>
        <v>112.550881</v>
      </c>
      <c r="L28" s="31">
        <f>K28*(1+'Data to enter'!J8)</f>
        <v>115.92740743</v>
      </c>
      <c r="M28" s="31">
        <f>L28*(1+'Data to enter'!K8)</f>
        <v>119.4052296529</v>
      </c>
      <c r="N28" s="31">
        <f>M28*(1+'Data to enter'!L8)</f>
        <v>122.987386542487</v>
      </c>
      <c r="O28" s="31">
        <f>N28*(1+'Data to enter'!M8)</f>
        <v>126.67700813876162</v>
      </c>
      <c r="P28" s="31">
        <f>O28*(1+'Data to enter'!N8)</f>
        <v>130.47731838292447</v>
      </c>
    </row>
    <row r="29" spans="1:18" ht="15" x14ac:dyDescent="0.25">
      <c r="A29" s="3"/>
      <c r="B29" s="3" t="s">
        <v>23</v>
      </c>
      <c r="C29" s="3"/>
      <c r="D29" s="3"/>
      <c r="E29" s="34"/>
      <c r="F29" s="34"/>
      <c r="G29" s="35">
        <f>'p5b one year'!G32</f>
        <v>300</v>
      </c>
      <c r="H29" s="31">
        <f>G29*(1+'Data to enter'!F8)</f>
        <v>309</v>
      </c>
      <c r="I29" s="31">
        <f>H29*(1+'Data to enter'!G8)</f>
        <v>318.27</v>
      </c>
      <c r="J29" s="31">
        <f>I29*(1+'Data to enter'!H8)</f>
        <v>327.81810000000002</v>
      </c>
      <c r="K29" s="31">
        <f>J29*(1+'Data to enter'!I8)</f>
        <v>337.65264300000001</v>
      </c>
      <c r="L29" s="31">
        <f>K29*(1+'Data to enter'!J8)</f>
        <v>347.78222228999999</v>
      </c>
      <c r="M29" s="31">
        <f>L29*(1+'Data to enter'!K8)</f>
        <v>358.21568895870001</v>
      </c>
      <c r="N29" s="31">
        <f>M29*(1+'Data to enter'!L8)</f>
        <v>368.96215962746101</v>
      </c>
      <c r="O29" s="31">
        <f>N29*(1+'Data to enter'!M8)</f>
        <v>380.03102441628482</v>
      </c>
      <c r="P29" s="31">
        <f>O29*(1+'Data to enter'!N8)</f>
        <v>391.4319551487734</v>
      </c>
    </row>
    <row r="30" spans="1:18" ht="15" x14ac:dyDescent="0.25">
      <c r="A30" s="3"/>
      <c r="B30" s="3" t="s">
        <v>5</v>
      </c>
      <c r="C30" s="3"/>
      <c r="D30" s="3"/>
      <c r="E30" s="34"/>
      <c r="F30" s="34"/>
      <c r="G30" s="35">
        <f>'p5b one year'!G33</f>
        <v>86</v>
      </c>
      <c r="H30" s="31">
        <f>G30*(1+'Data to enter'!F8)</f>
        <v>88.58</v>
      </c>
      <c r="I30" s="31">
        <f>H30*(1+'Data to enter'!G8)</f>
        <v>91.237399999999994</v>
      </c>
      <c r="J30" s="31">
        <f>I30*(1+'Data to enter'!H8)</f>
        <v>93.974521999999993</v>
      </c>
      <c r="K30" s="31">
        <f>J30*(1+'Data to enter'!I8)</f>
        <v>96.793757659999997</v>
      </c>
      <c r="L30" s="31">
        <f>K30*(1+'Data to enter'!J8)</f>
        <v>99.697570389800006</v>
      </c>
      <c r="M30" s="31">
        <f>L30*(1+'Data to enter'!K8)</f>
        <v>102.68849750149401</v>
      </c>
      <c r="N30" s="31">
        <f>M30*(1+'Data to enter'!L8)</f>
        <v>105.76915242653884</v>
      </c>
      <c r="O30" s="31">
        <f>N30*(1+'Data to enter'!M8)</f>
        <v>108.94222699933501</v>
      </c>
      <c r="P30" s="31">
        <f>O30*(1+'Data to enter'!N8)</f>
        <v>112.21049380931505</v>
      </c>
    </row>
    <row r="31" spans="1:18" ht="15" x14ac:dyDescent="0.25">
      <c r="A31" s="3"/>
      <c r="B31" s="3"/>
      <c r="C31" s="3"/>
      <c r="D31" s="3"/>
      <c r="E31" s="3"/>
      <c r="F31" s="3"/>
      <c r="G31" s="35"/>
    </row>
    <row r="32" spans="1:18" ht="17.399999999999999" x14ac:dyDescent="0.3">
      <c r="A32" s="3"/>
      <c r="B32" s="20" t="s">
        <v>4</v>
      </c>
      <c r="C32" s="20"/>
      <c r="D32" s="3"/>
      <c r="E32" s="3"/>
      <c r="F32" s="3"/>
      <c r="G32" s="117">
        <f>SUM(G20:G30)</f>
        <v>15739</v>
      </c>
      <c r="H32" s="117">
        <f t="shared" ref="H32:P32" si="1">SUM(H20:H30)</f>
        <v>16126.590999999999</v>
      </c>
      <c r="I32" s="117">
        <f t="shared" si="1"/>
        <v>16502.567980000003</v>
      </c>
      <c r="J32" s="117">
        <f t="shared" si="1"/>
        <v>17146.706769400003</v>
      </c>
      <c r="K32" s="117">
        <f t="shared" si="1"/>
        <v>17797.063472482001</v>
      </c>
      <c r="L32" s="117">
        <f t="shared" si="1"/>
        <v>20218.799626656462</v>
      </c>
      <c r="M32" s="117">
        <f t="shared" si="1"/>
        <v>20882.157365456154</v>
      </c>
      <c r="N32" s="117">
        <f t="shared" si="1"/>
        <v>21552.30958641984</v>
      </c>
      <c r="O32" s="117">
        <f t="shared" si="1"/>
        <v>22229.460124012436</v>
      </c>
      <c r="P32" s="117">
        <f t="shared" si="1"/>
        <v>22913.818927732813</v>
      </c>
      <c r="Q32" s="86"/>
      <c r="R32" s="86"/>
    </row>
    <row r="33" spans="1:18" ht="15" x14ac:dyDescent="0.25">
      <c r="A33" s="3"/>
      <c r="B33" s="3"/>
      <c r="C33" s="3"/>
      <c r="D33" s="3"/>
      <c r="E33" s="3"/>
      <c r="F33" s="3"/>
      <c r="G33" s="31"/>
      <c r="H33" s="86"/>
      <c r="I33" s="86"/>
      <c r="J33" s="86"/>
      <c r="K33" s="86"/>
      <c r="L33" s="86"/>
      <c r="M33" s="86"/>
      <c r="N33" s="86"/>
      <c r="O33" s="86"/>
      <c r="P33" s="86"/>
      <c r="Q33" s="86"/>
      <c r="R33" s="86"/>
    </row>
    <row r="34" spans="1:18" ht="15" x14ac:dyDescent="0.25">
      <c r="A34" s="103"/>
      <c r="B34" s="104" t="s">
        <v>10</v>
      </c>
      <c r="C34" s="104"/>
      <c r="D34" s="104"/>
      <c r="E34" s="103"/>
      <c r="F34" s="103"/>
      <c r="G34" s="118">
        <f>G14-G32</f>
        <v>12861</v>
      </c>
      <c r="H34" s="118">
        <f t="shared" ref="H34:P34" si="2">H14-H32</f>
        <v>13331.409000000001</v>
      </c>
      <c r="I34" s="118">
        <f t="shared" si="2"/>
        <v>13839.172019999998</v>
      </c>
      <c r="J34" s="118">
        <f t="shared" si="2"/>
        <v>14105.285430600001</v>
      </c>
      <c r="K34" s="118">
        <f t="shared" si="2"/>
        <v>14392.488493518005</v>
      </c>
      <c r="L34" s="118">
        <f t="shared" si="2"/>
        <v>12936.438898323544</v>
      </c>
      <c r="M34" s="118">
        <f t="shared" si="2"/>
        <v>13267.738315273255</v>
      </c>
      <c r="N34" s="118">
        <f t="shared" si="2"/>
        <v>13622.082964731453</v>
      </c>
      <c r="O34" s="118">
        <f t="shared" si="2"/>
        <v>14000.164203673401</v>
      </c>
      <c r="P34" s="118">
        <f t="shared" si="2"/>
        <v>14402.694129783602</v>
      </c>
      <c r="Q34" s="86"/>
      <c r="R34" s="86"/>
    </row>
    <row r="35" spans="1:18" ht="15" x14ac:dyDescent="0.25">
      <c r="A35" s="3"/>
      <c r="B35" s="3"/>
      <c r="C35" s="3"/>
      <c r="D35" s="3"/>
      <c r="E35" s="3"/>
      <c r="F35" s="3"/>
      <c r="G35" s="31"/>
      <c r="H35" s="86"/>
      <c r="I35" s="86"/>
      <c r="J35" s="86"/>
      <c r="K35" s="86"/>
      <c r="L35" s="86"/>
      <c r="M35" s="86"/>
      <c r="N35" s="86"/>
      <c r="O35" s="86"/>
      <c r="P35" s="86"/>
      <c r="Q35" s="86"/>
      <c r="R35" s="86"/>
    </row>
    <row r="36" spans="1:18" ht="15" x14ac:dyDescent="0.25">
      <c r="A36" s="3"/>
      <c r="B36" s="4" t="s">
        <v>12</v>
      </c>
      <c r="C36" s="4"/>
      <c r="D36" s="3"/>
      <c r="E36" s="3" t="s">
        <v>15</v>
      </c>
      <c r="F36" s="3"/>
      <c r="G36" s="31"/>
      <c r="H36" s="86"/>
      <c r="I36" s="86"/>
      <c r="J36" s="86"/>
      <c r="K36" s="86"/>
      <c r="L36" s="86"/>
      <c r="M36" s="86"/>
      <c r="N36" s="86"/>
      <c r="O36" s="86"/>
      <c r="P36" s="86"/>
      <c r="Q36" s="86"/>
      <c r="R36" s="86"/>
    </row>
    <row r="37" spans="1:18" ht="15" x14ac:dyDescent="0.25">
      <c r="A37" s="3"/>
      <c r="B37" s="3"/>
      <c r="C37" s="3"/>
      <c r="D37" s="3"/>
      <c r="E37" s="3" t="s">
        <v>16</v>
      </c>
      <c r="F37" s="3"/>
      <c r="G37" s="37">
        <f>'p5b one year'!H40</f>
        <v>4500</v>
      </c>
      <c r="H37" s="37">
        <f>G37*0.75</f>
        <v>3375</v>
      </c>
      <c r="I37" s="37">
        <f t="shared" ref="I37:P37" si="3">H37*0.75</f>
        <v>2531.25</v>
      </c>
      <c r="J37" s="37">
        <f t="shared" si="3"/>
        <v>1898.4375</v>
      </c>
      <c r="K37" s="37">
        <f t="shared" si="3"/>
        <v>1423.828125</v>
      </c>
      <c r="L37" s="37">
        <f t="shared" si="3"/>
        <v>1067.87109375</v>
      </c>
      <c r="M37" s="37">
        <f t="shared" si="3"/>
        <v>800.9033203125</v>
      </c>
      <c r="N37" s="37">
        <f t="shared" si="3"/>
        <v>600.677490234375</v>
      </c>
      <c r="O37" s="37">
        <f t="shared" si="3"/>
        <v>450.50811767578125</v>
      </c>
      <c r="P37" s="37">
        <f t="shared" si="3"/>
        <v>337.88108825683594</v>
      </c>
      <c r="Q37" s="86"/>
      <c r="R37" s="86"/>
    </row>
    <row r="38" spans="1:18" ht="15" x14ac:dyDescent="0.25">
      <c r="A38" s="3"/>
      <c r="B38" s="3"/>
      <c r="C38" s="3"/>
      <c r="D38" s="3"/>
      <c r="E38" s="3"/>
      <c r="F38" s="3"/>
      <c r="G38" s="31"/>
      <c r="H38" s="86"/>
      <c r="I38" s="86"/>
      <c r="J38" s="86"/>
      <c r="K38" s="86"/>
      <c r="L38" s="86"/>
      <c r="M38" s="86"/>
      <c r="N38" s="86"/>
      <c r="O38" s="86"/>
      <c r="P38" s="86"/>
      <c r="Q38" s="86"/>
      <c r="R38" s="86"/>
    </row>
    <row r="39" spans="1:18" ht="15" x14ac:dyDescent="0.25">
      <c r="A39" s="3"/>
      <c r="B39" s="3"/>
      <c r="C39" s="3"/>
      <c r="D39" s="3"/>
      <c r="E39" s="3"/>
      <c r="F39" s="3"/>
      <c r="G39" s="31"/>
      <c r="H39" s="86"/>
      <c r="I39" s="86"/>
      <c r="J39" s="86"/>
      <c r="K39" s="86"/>
      <c r="L39" s="86"/>
      <c r="M39" s="86"/>
      <c r="N39" s="86"/>
      <c r="O39" s="86"/>
      <c r="P39" s="86"/>
      <c r="Q39" s="86"/>
      <c r="R39" s="86"/>
    </row>
    <row r="40" spans="1:18" ht="15" x14ac:dyDescent="0.25">
      <c r="A40" s="3"/>
      <c r="B40" s="4" t="s">
        <v>13</v>
      </c>
      <c r="C40" s="4"/>
      <c r="D40" s="4"/>
      <c r="E40" s="4"/>
      <c r="F40" s="4"/>
      <c r="G40" s="17">
        <f>G34-G37</f>
        <v>8361</v>
      </c>
      <c r="H40" s="17">
        <f t="shared" ref="H40:P40" si="4">H34-H37</f>
        <v>9956.4090000000015</v>
      </c>
      <c r="I40" s="17">
        <f t="shared" si="4"/>
        <v>11307.922019999998</v>
      </c>
      <c r="J40" s="17">
        <f t="shared" si="4"/>
        <v>12206.847930600001</v>
      </c>
      <c r="K40" s="17">
        <f t="shared" si="4"/>
        <v>12968.660368518005</v>
      </c>
      <c r="L40" s="17">
        <f t="shared" si="4"/>
        <v>11868.567804573544</v>
      </c>
      <c r="M40" s="17">
        <f t="shared" si="4"/>
        <v>12466.834994960755</v>
      </c>
      <c r="N40" s="17">
        <f t="shared" si="4"/>
        <v>13021.405474497078</v>
      </c>
      <c r="O40" s="17">
        <f t="shared" si="4"/>
        <v>13549.65608599762</v>
      </c>
      <c r="P40" s="17">
        <f t="shared" si="4"/>
        <v>14064.813041526766</v>
      </c>
      <c r="Q40" s="86"/>
      <c r="R40" s="86"/>
    </row>
    <row r="41" spans="1:18" ht="15" x14ac:dyDescent="0.25">
      <c r="A41" s="3"/>
      <c r="B41" s="4"/>
      <c r="C41" s="4"/>
      <c r="D41" s="4"/>
      <c r="E41" s="4"/>
      <c r="F41" s="4"/>
      <c r="G41" s="17"/>
      <c r="H41" s="86"/>
      <c r="I41" s="86"/>
      <c r="J41" s="86"/>
      <c r="K41" s="86"/>
      <c r="L41" s="86"/>
      <c r="M41" s="86"/>
      <c r="N41" s="86"/>
      <c r="O41" s="86"/>
      <c r="P41" s="86"/>
      <c r="Q41" s="86"/>
      <c r="R41" s="86"/>
    </row>
    <row r="42" spans="1:18" ht="17.399999999999999" x14ac:dyDescent="0.3">
      <c r="A42" s="3"/>
      <c r="B42" s="21" t="s">
        <v>30</v>
      </c>
      <c r="C42" s="4"/>
      <c r="D42" s="4"/>
      <c r="E42" s="36"/>
      <c r="F42" s="4"/>
      <c r="G42" s="17">
        <f>IF(G40&lt;0,0,-(G40*$G$43*$E$43)+-(G40*$G$44*$E$44))</f>
        <v>-2746.1704500000001</v>
      </c>
      <c r="H42" s="17">
        <f>IF(H40&lt;0,0,-(H40*$G$43*$E$43)+-(H40*$G$44*$E$44))</f>
        <v>-3270.1825360500006</v>
      </c>
      <c r="I42" s="17">
        <f t="shared" ref="I42:P42" si="5">IF(I40&lt;0,0,-(I40*$G$43*$E$43)+-(I40*$G$44*$E$44))</f>
        <v>-3714.0869874689997</v>
      </c>
      <c r="J42" s="17">
        <f t="shared" si="5"/>
        <v>-4009.33920280557</v>
      </c>
      <c r="K42" s="17">
        <f t="shared" si="5"/>
        <v>-4259.5564980397394</v>
      </c>
      <c r="L42" s="17">
        <f t="shared" si="5"/>
        <v>-3898.2310954121813</v>
      </c>
      <c r="M42" s="17">
        <f t="shared" si="5"/>
        <v>-4094.7319540948597</v>
      </c>
      <c r="N42" s="17">
        <f t="shared" si="5"/>
        <v>-4276.8806280985655</v>
      </c>
      <c r="O42" s="17">
        <f t="shared" si="5"/>
        <v>-4450.3845414459183</v>
      </c>
      <c r="P42" s="17">
        <f t="shared" si="5"/>
        <v>-4619.5878434894666</v>
      </c>
      <c r="Q42" s="86"/>
      <c r="R42" s="86">
        <f>SUM(H42:P42)</f>
        <v>-36592.981286905298</v>
      </c>
    </row>
    <row r="43" spans="1:18" ht="15" x14ac:dyDescent="0.25">
      <c r="A43" s="3"/>
      <c r="B43" s="4"/>
      <c r="C43" s="4" t="s">
        <v>32</v>
      </c>
      <c r="D43" s="4" t="s">
        <v>31</v>
      </c>
      <c r="E43" s="36">
        <f>'p5b one year'!E46</f>
        <v>0.33</v>
      </c>
      <c r="F43" s="4"/>
      <c r="G43" s="16">
        <f>'p5b one year'!G46</f>
        <v>0.99</v>
      </c>
      <c r="K43" s="87"/>
      <c r="L43" s="87"/>
      <c r="M43" s="87"/>
      <c r="N43" s="87"/>
    </row>
    <row r="44" spans="1:18" ht="15" x14ac:dyDescent="0.25">
      <c r="A44" s="3"/>
      <c r="B44" s="4"/>
      <c r="C44" s="4" t="s">
        <v>34</v>
      </c>
      <c r="D44" s="4"/>
      <c r="E44" s="36">
        <f>'p5b one year'!E47</f>
        <v>0.17499999999999999</v>
      </c>
      <c r="F44" s="4"/>
      <c r="G44" s="16">
        <f>'p5b one year'!G47</f>
        <v>0.01</v>
      </c>
    </row>
    <row r="45" spans="1:18" ht="15" x14ac:dyDescent="0.25">
      <c r="A45" s="3"/>
      <c r="B45" s="2"/>
      <c r="C45" s="2"/>
      <c r="D45" s="2"/>
      <c r="E45" s="2"/>
      <c r="F45" s="2"/>
      <c r="G45" s="2"/>
    </row>
    <row r="46" spans="1:18" ht="18" thickBot="1" x14ac:dyDescent="0.35">
      <c r="A46" s="3"/>
      <c r="B46" s="4" t="s">
        <v>36</v>
      </c>
      <c r="C46" s="2"/>
      <c r="D46" s="2"/>
      <c r="E46" s="2"/>
      <c r="F46" s="2"/>
      <c r="G46" s="30">
        <f>G34+G42</f>
        <v>10114.82955</v>
      </c>
      <c r="H46" s="30">
        <f t="shared" ref="H46:P46" si="6">H34+H42</f>
        <v>10061.226463950001</v>
      </c>
      <c r="I46" s="30">
        <f t="shared" si="6"/>
        <v>10125.085032530998</v>
      </c>
      <c r="J46" s="30">
        <f t="shared" si="6"/>
        <v>10095.946227794431</v>
      </c>
      <c r="K46" s="30">
        <f t="shared" si="6"/>
        <v>10132.931995478266</v>
      </c>
      <c r="L46" s="30">
        <f t="shared" si="6"/>
        <v>9038.2078029113618</v>
      </c>
      <c r="M46" s="30">
        <f t="shared" si="6"/>
        <v>9173.0063611783953</v>
      </c>
      <c r="N46" s="30">
        <f t="shared" si="6"/>
        <v>9345.2023366328867</v>
      </c>
      <c r="O46" s="30">
        <f t="shared" si="6"/>
        <v>9549.7796622274836</v>
      </c>
      <c r="P46" s="30">
        <f t="shared" si="6"/>
        <v>9783.1062862941362</v>
      </c>
    </row>
    <row r="47" spans="1:18" ht="15.6" thickTop="1" x14ac:dyDescent="0.25">
      <c r="A47" s="3"/>
      <c r="B47" s="3"/>
      <c r="C47" s="3"/>
      <c r="D47" s="3"/>
      <c r="E47" s="3"/>
      <c r="F47" s="3"/>
      <c r="G47" s="31"/>
    </row>
    <row r="48" spans="1:18" ht="15" x14ac:dyDescent="0.25">
      <c r="A48" s="3"/>
      <c r="B48" s="4" t="s">
        <v>17</v>
      </c>
      <c r="C48" s="3"/>
      <c r="D48" s="3"/>
      <c r="E48" s="3"/>
      <c r="F48" s="3"/>
      <c r="G48" s="17">
        <f>G46/52</f>
        <v>194.51595288461539</v>
      </c>
      <c r="H48" s="17">
        <f t="shared" ref="H48:P48" si="7">H46/52</f>
        <v>193.4851243067308</v>
      </c>
      <c r="I48" s="17">
        <f t="shared" si="7"/>
        <v>194.71317370251921</v>
      </c>
      <c r="J48" s="17">
        <f t="shared" si="7"/>
        <v>194.15281207296982</v>
      </c>
      <c r="K48" s="17">
        <f t="shared" si="7"/>
        <v>194.86407683612049</v>
      </c>
      <c r="L48" s="17">
        <f t="shared" si="7"/>
        <v>173.81168851752619</v>
      </c>
      <c r="M48" s="17">
        <f t="shared" si="7"/>
        <v>176.40396848419991</v>
      </c>
      <c r="N48" s="17">
        <f t="shared" si="7"/>
        <v>179.71542955063245</v>
      </c>
      <c r="O48" s="17">
        <f t="shared" si="7"/>
        <v>183.64960888899006</v>
      </c>
      <c r="P48" s="17">
        <f t="shared" si="7"/>
        <v>188.13665935181032</v>
      </c>
    </row>
    <row r="49" spans="1:18" ht="15" x14ac:dyDescent="0.25">
      <c r="A49" s="3"/>
      <c r="B49" s="3"/>
      <c r="C49" s="3"/>
      <c r="D49" s="3"/>
      <c r="E49" s="3"/>
      <c r="F49" s="3"/>
      <c r="G49" s="9"/>
    </row>
    <row r="50" spans="1:18" ht="15" x14ac:dyDescent="0.25">
      <c r="A50" s="3"/>
      <c r="B50" s="3"/>
      <c r="C50" s="3"/>
      <c r="D50" s="3"/>
      <c r="E50" s="3"/>
      <c r="F50" s="3"/>
      <c r="G50" s="15"/>
    </row>
    <row r="51" spans="1:18" ht="15" x14ac:dyDescent="0.25">
      <c r="A51" s="3"/>
      <c r="B51" s="3" t="s">
        <v>50</v>
      </c>
      <c r="C51" s="3"/>
      <c r="D51" s="3"/>
      <c r="E51" s="3"/>
      <c r="F51" s="3"/>
      <c r="G51" s="31">
        <f>G6-G10</f>
        <v>500</v>
      </c>
      <c r="H51" s="31">
        <f t="shared" ref="H51:P51" si="8">H6-H10</f>
        <v>500</v>
      </c>
      <c r="I51" s="31">
        <f t="shared" si="8"/>
        <v>500</v>
      </c>
      <c r="J51" s="31">
        <f t="shared" si="8"/>
        <v>9249.9999999999418</v>
      </c>
      <c r="K51" s="31">
        <f t="shared" si="8"/>
        <v>27187.499999999942</v>
      </c>
      <c r="L51" s="31">
        <f t="shared" si="8"/>
        <v>53555.624999999942</v>
      </c>
      <c r="M51" s="31">
        <f t="shared" si="8"/>
        <v>89830.631249999977</v>
      </c>
      <c r="N51" s="31">
        <f t="shared" si="8"/>
        <v>138157.0006875</v>
      </c>
      <c r="O51" s="31">
        <f t="shared" si="8"/>
        <v>211305.55079062493</v>
      </c>
      <c r="P51" s="31">
        <f t="shared" si="8"/>
        <v>267386.10586968751</v>
      </c>
      <c r="R51" s="86">
        <f>P51-R8</f>
        <v>267386.10586968751</v>
      </c>
    </row>
    <row r="52" spans="1:18" ht="15" x14ac:dyDescent="0.25">
      <c r="A52" s="3"/>
      <c r="B52" s="3" t="s">
        <v>51</v>
      </c>
      <c r="C52" s="2"/>
      <c r="D52" s="2"/>
      <c r="E52" s="2"/>
      <c r="F52" s="3"/>
      <c r="G52" s="31">
        <f>G46</f>
        <v>10114.82955</v>
      </c>
      <c r="H52" s="31">
        <f>G52+H46</f>
        <v>20176.056013950001</v>
      </c>
      <c r="I52" s="31">
        <f t="shared" ref="I52:P52" si="9">H52+I46</f>
        <v>30301.141046481</v>
      </c>
      <c r="J52" s="31">
        <f t="shared" si="9"/>
        <v>40397.087274275429</v>
      </c>
      <c r="K52" s="31">
        <f t="shared" si="9"/>
        <v>50530.019269753699</v>
      </c>
      <c r="L52" s="31">
        <f t="shared" si="9"/>
        <v>59568.22707266506</v>
      </c>
      <c r="M52" s="31">
        <f t="shared" si="9"/>
        <v>68741.233433843459</v>
      </c>
      <c r="N52" s="31">
        <f t="shared" si="9"/>
        <v>78086.435770476353</v>
      </c>
      <c r="O52" s="31">
        <f t="shared" si="9"/>
        <v>87636.215432703844</v>
      </c>
      <c r="P52" s="31">
        <f t="shared" si="9"/>
        <v>97419.321718997977</v>
      </c>
    </row>
    <row r="53" spans="1:18" ht="14.25" customHeight="1" x14ac:dyDescent="0.25">
      <c r="A53" s="3"/>
      <c r="B53" s="3"/>
      <c r="C53" s="3"/>
      <c r="D53" s="3"/>
      <c r="E53" s="3"/>
      <c r="F53" s="3"/>
      <c r="G53" s="9"/>
    </row>
    <row r="54" spans="1:18" ht="15" hidden="1" x14ac:dyDescent="0.25">
      <c r="A54" s="3"/>
      <c r="B54" s="10"/>
      <c r="C54" s="10"/>
      <c r="D54" s="10"/>
      <c r="E54" s="10"/>
      <c r="F54" s="10"/>
      <c r="G54" s="11"/>
    </row>
    <row r="55" spans="1:18" hidden="1" x14ac:dyDescent="0.25">
      <c r="B55" s="12"/>
      <c r="C55" s="12"/>
      <c r="D55" s="12"/>
      <c r="E55" s="12"/>
      <c r="F55" s="12"/>
      <c r="G55" s="12"/>
    </row>
    <row r="56" spans="1:18" hidden="1" x14ac:dyDescent="0.25">
      <c r="A56" s="1"/>
      <c r="B56" s="13"/>
      <c r="C56" s="14"/>
      <c r="D56" s="13"/>
      <c r="E56" s="13"/>
      <c r="F56" s="13"/>
      <c r="G56" s="13"/>
    </row>
    <row r="57" spans="1:18" hidden="1" x14ac:dyDescent="0.25">
      <c r="A57" s="1"/>
      <c r="B57" s="1"/>
      <c r="C57" s="1"/>
      <c r="D57" s="1"/>
      <c r="E57" s="1"/>
      <c r="F57" s="1"/>
      <c r="G57" s="1"/>
    </row>
    <row r="58" spans="1:18" ht="29.4" x14ac:dyDescent="0.45">
      <c r="A58" s="1"/>
      <c r="B58" s="201"/>
      <c r="C58" s="201"/>
      <c r="D58" s="201"/>
      <c r="E58" s="201"/>
      <c r="F58" s="201"/>
      <c r="G58" s="201"/>
    </row>
    <row r="59" spans="1:18" ht="29.4" x14ac:dyDescent="0.45">
      <c r="A59" s="1"/>
      <c r="B59" s="38" t="s">
        <v>53</v>
      </c>
      <c r="C59" s="119"/>
      <c r="D59" s="119"/>
      <c r="E59" s="119"/>
      <c r="F59" s="119"/>
      <c r="G59" s="119"/>
    </row>
    <row r="60" spans="1:18" ht="29.4" x14ac:dyDescent="0.45">
      <c r="A60" s="1"/>
      <c r="B60" s="119"/>
      <c r="C60" s="119"/>
      <c r="D60" s="119"/>
      <c r="E60" s="119"/>
      <c r="F60" s="119"/>
      <c r="G60" s="119"/>
    </row>
    <row r="61" spans="1:18" ht="15" x14ac:dyDescent="0.25">
      <c r="A61" s="1"/>
      <c r="B61" s="39" t="s">
        <v>54</v>
      </c>
      <c r="C61" s="40"/>
      <c r="D61" s="40"/>
      <c r="E61" s="40"/>
      <c r="F61" s="40"/>
      <c r="G61" s="40"/>
    </row>
    <row r="62" spans="1:18" ht="15" x14ac:dyDescent="0.25">
      <c r="A62" s="1"/>
      <c r="B62" s="41"/>
      <c r="C62" s="41"/>
      <c r="D62" s="41"/>
      <c r="E62" s="41"/>
      <c r="F62" s="41"/>
      <c r="G62" s="41"/>
    </row>
    <row r="63" spans="1:18" ht="15" x14ac:dyDescent="0.25">
      <c r="A63" s="1"/>
      <c r="B63" s="3" t="s">
        <v>55</v>
      </c>
      <c r="C63" s="41"/>
      <c r="D63" s="41"/>
      <c r="E63" s="41"/>
      <c r="F63" s="41"/>
      <c r="G63" s="41"/>
    </row>
    <row r="64" spans="1:18" ht="15" x14ac:dyDescent="0.25">
      <c r="A64" s="3"/>
      <c r="B64" s="3"/>
      <c r="C64" s="3"/>
      <c r="D64" s="3"/>
      <c r="E64" s="3"/>
      <c r="F64" s="3"/>
      <c r="G64" s="3"/>
    </row>
    <row r="65" spans="1:7" ht="15" x14ac:dyDescent="0.25">
      <c r="A65" s="3"/>
      <c r="B65" s="3" t="s">
        <v>56</v>
      </c>
      <c r="C65" s="3"/>
      <c r="D65" s="3"/>
      <c r="E65" s="3"/>
      <c r="F65" s="3"/>
      <c r="G65" s="3"/>
    </row>
    <row r="66" spans="1:7" ht="15" x14ac:dyDescent="0.25">
      <c r="A66" s="3"/>
      <c r="B66" s="4"/>
      <c r="C66" s="3"/>
      <c r="D66" s="3"/>
      <c r="E66" s="3"/>
      <c r="F66" s="3"/>
      <c r="G66" s="3"/>
    </row>
    <row r="67" spans="1:7" ht="15" x14ac:dyDescent="0.25">
      <c r="A67" s="3"/>
      <c r="B67" s="3" t="s">
        <v>57</v>
      </c>
      <c r="C67" s="3"/>
      <c r="D67" s="3"/>
      <c r="E67" s="3"/>
      <c r="F67" s="3"/>
      <c r="G67" s="3"/>
    </row>
    <row r="68" spans="1:7" ht="15" x14ac:dyDescent="0.25">
      <c r="A68" s="3"/>
      <c r="B68" s="3"/>
      <c r="C68" s="3"/>
      <c r="D68" s="3"/>
      <c r="E68" s="3"/>
      <c r="F68" s="3"/>
      <c r="G68" s="3"/>
    </row>
    <row r="69" spans="1:7" ht="15" x14ac:dyDescent="0.25">
      <c r="A69" s="3"/>
      <c r="B69" s="3" t="s">
        <v>58</v>
      </c>
      <c r="C69" s="3"/>
      <c r="D69" s="3"/>
      <c r="E69" s="3"/>
      <c r="F69" s="3"/>
      <c r="G69" s="3"/>
    </row>
    <row r="70" spans="1:7" ht="15" x14ac:dyDescent="0.25">
      <c r="A70" s="3"/>
      <c r="B70" s="3"/>
      <c r="C70" s="3"/>
      <c r="D70" s="3"/>
      <c r="E70" s="3"/>
      <c r="F70" s="3"/>
      <c r="G70" s="3"/>
    </row>
    <row r="71" spans="1:7" ht="15" x14ac:dyDescent="0.25">
      <c r="A71" s="3"/>
      <c r="B71" s="3" t="s">
        <v>60</v>
      </c>
      <c r="C71" s="3"/>
      <c r="D71" s="3"/>
      <c r="E71" s="3"/>
      <c r="F71" s="3"/>
      <c r="G71" s="3" t="s">
        <v>88</v>
      </c>
    </row>
    <row r="72" spans="1:7" ht="15" x14ac:dyDescent="0.25">
      <c r="A72" s="3"/>
      <c r="B72" s="3"/>
      <c r="C72" s="3"/>
      <c r="D72" s="3"/>
      <c r="E72" s="3"/>
      <c r="F72" s="3"/>
      <c r="G72" s="3"/>
    </row>
    <row r="73" spans="1:7" ht="15" x14ac:dyDescent="0.25">
      <c r="A73" s="3"/>
      <c r="B73" s="3"/>
      <c r="C73" s="3"/>
      <c r="D73" s="3"/>
      <c r="E73" s="3"/>
      <c r="F73" s="3"/>
      <c r="G73" s="3"/>
    </row>
    <row r="74" spans="1:7" ht="15" x14ac:dyDescent="0.25">
      <c r="A74" s="3"/>
      <c r="B74" s="3"/>
      <c r="C74" s="3"/>
      <c r="D74" s="3"/>
      <c r="E74" s="3"/>
      <c r="F74" s="3"/>
      <c r="G74" s="3"/>
    </row>
    <row r="75" spans="1:7" ht="15" x14ac:dyDescent="0.25">
      <c r="A75" s="3"/>
      <c r="B75" s="3"/>
      <c r="C75" s="3"/>
      <c r="D75" s="3"/>
      <c r="E75" s="3"/>
      <c r="F75" s="3"/>
      <c r="G75" s="3"/>
    </row>
    <row r="76" spans="1:7" ht="15" x14ac:dyDescent="0.25">
      <c r="A76" s="3"/>
      <c r="B76" s="3"/>
      <c r="C76" s="3"/>
      <c r="D76" s="3"/>
      <c r="E76" s="3"/>
      <c r="F76" s="3"/>
      <c r="G76" s="3"/>
    </row>
    <row r="77" spans="1:7" ht="15" x14ac:dyDescent="0.25">
      <c r="A77" s="3"/>
      <c r="B77" s="3"/>
      <c r="C77" s="3"/>
      <c r="D77" s="3"/>
      <c r="E77" s="3"/>
      <c r="F77" s="3"/>
      <c r="G77" s="3"/>
    </row>
    <row r="78" spans="1:7" ht="15" x14ac:dyDescent="0.25">
      <c r="A78" s="3"/>
      <c r="B78" s="3"/>
      <c r="C78" s="3"/>
      <c r="D78" s="3"/>
      <c r="E78" s="3"/>
      <c r="F78" s="3"/>
      <c r="G78" s="3"/>
    </row>
    <row r="79" spans="1:7" ht="15" x14ac:dyDescent="0.25">
      <c r="A79" s="3"/>
      <c r="B79" s="3"/>
      <c r="C79" s="3"/>
      <c r="D79" s="3"/>
      <c r="E79" s="3"/>
      <c r="F79" s="3"/>
      <c r="G79" s="3"/>
    </row>
    <row r="80" spans="1:7" ht="15" x14ac:dyDescent="0.25">
      <c r="A80" s="3"/>
      <c r="B80" s="3"/>
      <c r="C80" s="3"/>
      <c r="D80" s="3"/>
      <c r="E80" s="3"/>
      <c r="F80" s="3"/>
      <c r="G80" s="3"/>
    </row>
    <row r="81" spans="1:7" ht="15" x14ac:dyDescent="0.25">
      <c r="A81" s="3"/>
      <c r="B81" s="3"/>
      <c r="C81" s="3"/>
      <c r="D81" s="3"/>
      <c r="E81" s="3"/>
      <c r="F81" s="3"/>
      <c r="G81" s="3"/>
    </row>
    <row r="82" spans="1:7" ht="15" x14ac:dyDescent="0.25">
      <c r="A82" s="3"/>
      <c r="B82" s="3"/>
      <c r="C82" s="3"/>
      <c r="D82" s="3"/>
      <c r="E82" s="3"/>
      <c r="F82" s="3"/>
      <c r="G82" s="3"/>
    </row>
    <row r="83" spans="1:7" ht="15" x14ac:dyDescent="0.25">
      <c r="A83" s="3"/>
      <c r="B83" s="3"/>
      <c r="C83" s="3"/>
      <c r="D83" s="3"/>
      <c r="E83" s="3"/>
      <c r="F83" s="3"/>
      <c r="G83" s="3"/>
    </row>
    <row r="84" spans="1:7" ht="15" x14ac:dyDescent="0.25">
      <c r="A84" s="3"/>
      <c r="B84" s="3"/>
      <c r="C84" s="3"/>
      <c r="D84" s="3"/>
      <c r="E84" s="3"/>
      <c r="F84" s="3"/>
      <c r="G84" s="3"/>
    </row>
    <row r="85" spans="1:7" ht="15" x14ac:dyDescent="0.25">
      <c r="A85" s="3"/>
      <c r="B85" s="3"/>
      <c r="C85" s="3"/>
      <c r="D85" s="3"/>
      <c r="E85" s="3"/>
      <c r="F85" s="3"/>
      <c r="G85" s="3"/>
    </row>
    <row r="86" spans="1:7" ht="15" x14ac:dyDescent="0.25">
      <c r="A86" s="3"/>
      <c r="B86" s="3"/>
      <c r="C86" s="3"/>
      <c r="D86" s="3"/>
      <c r="E86" s="3"/>
      <c r="F86" s="3"/>
      <c r="G86" s="3"/>
    </row>
    <row r="87" spans="1:7" ht="15" x14ac:dyDescent="0.25">
      <c r="A87" s="3"/>
      <c r="B87" s="3"/>
      <c r="C87" s="3"/>
      <c r="D87" s="3"/>
      <c r="E87" s="3"/>
      <c r="F87" s="3"/>
      <c r="G87" s="3"/>
    </row>
    <row r="88" spans="1:7" ht="15" x14ac:dyDescent="0.25">
      <c r="A88" s="3"/>
      <c r="B88" s="2"/>
      <c r="C88" s="2"/>
      <c r="D88" s="2"/>
      <c r="E88" s="2"/>
      <c r="F88" s="2"/>
      <c r="G88" s="2"/>
    </row>
    <row r="89" spans="1:7" ht="15" x14ac:dyDescent="0.25">
      <c r="A89" s="3"/>
      <c r="B89" s="2"/>
      <c r="C89" s="2"/>
      <c r="D89" s="2"/>
      <c r="E89" s="2"/>
      <c r="F89" s="2"/>
      <c r="G89" s="2"/>
    </row>
    <row r="90" spans="1:7" ht="15" x14ac:dyDescent="0.25">
      <c r="A90" s="3"/>
      <c r="B90" s="2"/>
      <c r="C90" s="2"/>
      <c r="D90" s="2"/>
      <c r="E90" s="2"/>
      <c r="F90" s="2"/>
      <c r="G90" s="2"/>
    </row>
    <row r="91" spans="1:7" ht="15" x14ac:dyDescent="0.25">
      <c r="A91" s="3"/>
      <c r="B91" s="2"/>
      <c r="C91" s="2"/>
      <c r="D91" s="2"/>
      <c r="E91" s="2"/>
      <c r="F91" s="2"/>
      <c r="G91" s="2"/>
    </row>
    <row r="92" spans="1:7" ht="15" x14ac:dyDescent="0.25">
      <c r="A92" s="3"/>
      <c r="B92" s="5"/>
      <c r="C92" s="5"/>
      <c r="D92" s="5"/>
      <c r="E92" s="5"/>
      <c r="F92" s="5"/>
      <c r="G92" s="5"/>
    </row>
    <row r="93" spans="1:7" ht="15" x14ac:dyDescent="0.25">
      <c r="B93" s="6"/>
      <c r="C93" s="6"/>
      <c r="D93" s="6"/>
      <c r="E93" s="6"/>
      <c r="F93" s="7"/>
      <c r="G93" s="6"/>
    </row>
  </sheetData>
  <sheetProtection algorithmName="SHA-512" hashValue="Ee68/p9WjKo7wuARRFYzQVKwvDrDcK+EwN+DI+ig5PnM48YPhncIe5kPiVfohDsqJYE71XzN3OYGS76814flYA==" saltValue="PijRlsZaGWiGSe6oYSviWg==" spinCount="100000" sheet="1" selectLockedCells="1"/>
  <mergeCells count="3">
    <mergeCell ref="A1:G1"/>
    <mergeCell ref="E2:H2"/>
    <mergeCell ref="B58:G58"/>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A0FC-A14A-4EB8-BC9A-F8254143BDA0}">
  <sheetPr codeName="Sheet17">
    <pageSetUpPr fitToPage="1"/>
  </sheetPr>
  <dimension ref="A1:R93"/>
  <sheetViews>
    <sheetView zoomScaleNormal="100" workbookViewId="0">
      <pane xSplit="7" ySplit="18" topLeftCell="H40" activePane="bottomRight" state="frozen"/>
      <selection pane="topRight" activeCell="H1" sqref="H1"/>
      <selection pane="bottomLeft" activeCell="A19" sqref="A19"/>
      <selection pane="bottomRight" activeCell="G8" sqref="G8"/>
    </sheetView>
  </sheetViews>
  <sheetFormatPr defaultRowHeight="13.2" x14ac:dyDescent="0.25"/>
  <cols>
    <col min="1" max="1" width="3.5546875" customWidth="1"/>
    <col min="2" max="2" width="20" customWidth="1"/>
    <col min="3" max="3" width="12.88671875" customWidth="1"/>
    <col min="4" max="4" width="13" bestFit="1" customWidth="1"/>
    <col min="5" max="5" width="13.33203125" customWidth="1"/>
    <col min="6" max="6" width="6.109375" customWidth="1"/>
    <col min="7" max="7" width="16" bestFit="1" customWidth="1"/>
    <col min="8" max="8" width="11.88671875" customWidth="1"/>
    <col min="9" max="10" width="11.6640625" customWidth="1"/>
    <col min="11" max="11" width="11.44140625" customWidth="1"/>
    <col min="12" max="12" width="11.88671875" customWidth="1"/>
    <col min="13" max="13" width="12.44140625" customWidth="1"/>
    <col min="14" max="14" width="12" customWidth="1"/>
    <col min="15" max="16" width="11.6640625" customWidth="1"/>
  </cols>
  <sheetData>
    <row r="1" spans="1:18" ht="54.75" customHeight="1" x14ac:dyDescent="0.25">
      <c r="A1" s="198"/>
      <c r="B1" s="198"/>
      <c r="C1" s="198"/>
      <c r="D1" s="198"/>
      <c r="E1" s="198"/>
      <c r="F1" s="198"/>
      <c r="G1" s="198"/>
      <c r="H1" s="1"/>
    </row>
    <row r="2" spans="1:18" ht="22.8" x14ac:dyDescent="0.4">
      <c r="A2" s="28"/>
      <c r="B2" s="29" t="s">
        <v>24</v>
      </c>
      <c r="C2" s="28"/>
      <c r="D2" s="28"/>
      <c r="E2" s="199"/>
      <c r="F2" s="200"/>
      <c r="G2" s="200"/>
      <c r="H2" s="200"/>
      <c r="K2" s="99">
        <v>5</v>
      </c>
      <c r="P2" s="99">
        <v>10</v>
      </c>
      <c r="Q2" s="1"/>
    </row>
    <row r="3" spans="1:18" x14ac:dyDescent="0.25">
      <c r="G3" s="88">
        <f>'Data to enter'!F3</f>
        <v>2021</v>
      </c>
      <c r="H3" s="88">
        <f>'Data to enter'!G3</f>
        <v>2022</v>
      </c>
      <c r="I3" s="88">
        <f>'Data to enter'!H3</f>
        <v>2023</v>
      </c>
      <c r="J3" s="88">
        <f>'Data to enter'!I3</f>
        <v>2024</v>
      </c>
      <c r="K3" s="88">
        <f>'Data to enter'!J3</f>
        <v>2025</v>
      </c>
      <c r="L3" s="88">
        <f>'Data to enter'!K3</f>
        <v>2026</v>
      </c>
      <c r="M3" s="88">
        <f>'Data to enter'!L3</f>
        <v>2027</v>
      </c>
      <c r="N3" s="88">
        <f>'Data to enter'!M3</f>
        <v>2028</v>
      </c>
      <c r="O3" s="88">
        <f>'Data to enter'!N3</f>
        <v>2029</v>
      </c>
      <c r="P3" s="88">
        <f>'Data to enter'!O3</f>
        <v>2030</v>
      </c>
      <c r="Q3" s="100"/>
      <c r="R3" s="88" t="s">
        <v>89</v>
      </c>
    </row>
    <row r="4" spans="1:18" x14ac:dyDescent="0.25">
      <c r="A4" s="1"/>
      <c r="B4" s="1"/>
      <c r="C4" s="1"/>
      <c r="D4" s="1"/>
      <c r="E4" s="1"/>
      <c r="F4" s="1"/>
      <c r="G4" s="1"/>
    </row>
    <row r="5" spans="1:18" ht="1.5" customHeight="1" x14ac:dyDescent="0.25">
      <c r="A5" s="1"/>
      <c r="B5" s="3"/>
      <c r="C5" s="1"/>
      <c r="D5" s="8"/>
      <c r="E5" s="1"/>
      <c r="F5" s="1"/>
      <c r="G5" s="1"/>
    </row>
    <row r="6" spans="1:18" ht="15" x14ac:dyDescent="0.25">
      <c r="A6" s="3"/>
      <c r="B6" s="3" t="s">
        <v>21</v>
      </c>
      <c r="C6" s="3"/>
      <c r="D6" s="26"/>
      <c r="E6" s="27"/>
      <c r="F6" s="3"/>
      <c r="G6" s="33">
        <f>'p5c one year'!D6</f>
        <v>1100000</v>
      </c>
      <c r="H6" s="33">
        <f>G6*(1+'Data to enter'!G4)</f>
        <v>1100000</v>
      </c>
      <c r="I6" s="33">
        <f>H6*(1+'Data to enter'!H4)</f>
        <v>1100000</v>
      </c>
      <c r="J6" s="33">
        <f>I6*(1+'Data to enter'!I4)</f>
        <v>1127500</v>
      </c>
      <c r="K6" s="33">
        <f>J6*(1+'Data to enter'!J4)</f>
        <v>1183875</v>
      </c>
      <c r="L6" s="33">
        <f>K6*(1+'Data to enter'!K4)</f>
        <v>1266746.25</v>
      </c>
      <c r="M6" s="33">
        <f>L6*(1+'Data to enter'!L4)</f>
        <v>1380753.4125000001</v>
      </c>
      <c r="N6" s="33">
        <f>M6*(1+'Data to enter'!M4)</f>
        <v>1532636.2878750002</v>
      </c>
      <c r="O6" s="33">
        <f>N6*(1+'Data to enter'!N4)</f>
        <v>1762531.7310562499</v>
      </c>
      <c r="P6" s="33">
        <f>O6*(1+'Data to enter'!O4)</f>
        <v>1938784.9041618751</v>
      </c>
    </row>
    <row r="7" spans="1:18" ht="15" x14ac:dyDescent="0.25">
      <c r="A7" s="3"/>
      <c r="B7" s="3"/>
      <c r="C7" s="3"/>
      <c r="D7" s="27"/>
      <c r="E7" s="26"/>
      <c r="F7" s="3"/>
      <c r="G7" s="31"/>
      <c r="H7" s="86"/>
      <c r="I7" s="86"/>
      <c r="J7" s="86"/>
      <c r="K7" s="86"/>
      <c r="L7" s="86"/>
      <c r="M7" s="86"/>
      <c r="N7" s="86"/>
      <c r="O7" s="86"/>
      <c r="P7" s="86"/>
    </row>
    <row r="8" spans="1:18" ht="15" x14ac:dyDescent="0.25">
      <c r="A8" s="3"/>
      <c r="B8" s="3" t="s">
        <v>59</v>
      </c>
      <c r="C8" s="3"/>
      <c r="D8" s="27"/>
      <c r="E8" s="26"/>
      <c r="F8" s="3"/>
      <c r="G8" s="101">
        <f>'p5c one year'!E11</f>
        <v>150000</v>
      </c>
      <c r="H8" s="116"/>
      <c r="I8" s="116"/>
      <c r="J8" s="116"/>
      <c r="K8" s="116"/>
      <c r="L8" s="116"/>
      <c r="M8" s="116"/>
      <c r="N8" s="116"/>
      <c r="O8" s="116"/>
      <c r="P8" s="116"/>
      <c r="Q8" s="32"/>
      <c r="R8" s="32">
        <f>SUM(G8:P8)</f>
        <v>150000</v>
      </c>
    </row>
    <row r="9" spans="1:18" ht="15" x14ac:dyDescent="0.25">
      <c r="A9" s="3"/>
      <c r="B9" s="3"/>
      <c r="C9" s="3"/>
      <c r="D9" s="27"/>
      <c r="E9" s="27"/>
      <c r="F9" s="3"/>
      <c r="G9" s="31"/>
      <c r="H9" s="86"/>
      <c r="I9" s="86"/>
      <c r="J9" s="86"/>
      <c r="K9" s="86"/>
      <c r="L9" s="86"/>
      <c r="M9" s="86"/>
      <c r="N9" s="86"/>
      <c r="O9" s="86"/>
      <c r="P9" s="86"/>
    </row>
    <row r="10" spans="1:18" ht="15" x14ac:dyDescent="0.25">
      <c r="A10" s="3"/>
      <c r="B10" s="4" t="s">
        <v>9</v>
      </c>
      <c r="C10" s="3"/>
      <c r="D10" s="27"/>
      <c r="E10" s="26"/>
      <c r="F10" s="3"/>
      <c r="G10" s="31">
        <f>'p5c one year'!E13</f>
        <v>950660</v>
      </c>
      <c r="H10" s="31">
        <f>G10-H8</f>
        <v>950660</v>
      </c>
      <c r="I10" s="31">
        <f t="shared" ref="I10:P10" si="0">H10-I8</f>
        <v>950660</v>
      </c>
      <c r="J10" s="31">
        <f t="shared" si="0"/>
        <v>950660</v>
      </c>
      <c r="K10" s="31">
        <f t="shared" si="0"/>
        <v>950660</v>
      </c>
      <c r="L10" s="31">
        <f t="shared" si="0"/>
        <v>950660</v>
      </c>
      <c r="M10" s="31">
        <f t="shared" si="0"/>
        <v>950660</v>
      </c>
      <c r="N10" s="31">
        <f t="shared" si="0"/>
        <v>950660</v>
      </c>
      <c r="O10" s="31">
        <f t="shared" si="0"/>
        <v>950660</v>
      </c>
      <c r="P10" s="31">
        <f t="shared" si="0"/>
        <v>950660</v>
      </c>
    </row>
    <row r="11" spans="1:18" ht="8.25" customHeight="1" x14ac:dyDescent="0.25">
      <c r="A11" s="3"/>
      <c r="B11" s="3"/>
      <c r="C11" s="3"/>
      <c r="D11" s="8"/>
      <c r="E11" s="8"/>
      <c r="F11" s="3"/>
      <c r="G11" s="31"/>
      <c r="H11" s="86"/>
      <c r="I11" s="86"/>
      <c r="J11" s="86"/>
      <c r="K11" s="86"/>
      <c r="L11" s="86"/>
      <c r="M11" s="86"/>
      <c r="N11" s="86"/>
      <c r="O11" s="86"/>
      <c r="P11" s="86"/>
    </row>
    <row r="12" spans="1:18" ht="17.399999999999999" x14ac:dyDescent="0.3">
      <c r="A12" s="3"/>
      <c r="B12" s="19" t="s">
        <v>0</v>
      </c>
      <c r="C12" s="3"/>
      <c r="D12" s="3"/>
      <c r="E12" s="3"/>
      <c r="F12" s="3"/>
      <c r="G12" s="31"/>
      <c r="H12" s="86"/>
      <c r="I12" s="86"/>
      <c r="J12" s="86"/>
      <c r="K12" s="86"/>
      <c r="L12" s="86"/>
      <c r="M12" s="86"/>
      <c r="N12" s="86"/>
      <c r="O12" s="86"/>
      <c r="P12" s="86"/>
    </row>
    <row r="13" spans="1:18" ht="8.25" customHeight="1" x14ac:dyDescent="0.25">
      <c r="A13" s="3"/>
      <c r="B13" s="3"/>
      <c r="C13" s="3"/>
      <c r="D13" s="3"/>
      <c r="E13" s="3"/>
      <c r="F13" s="3"/>
      <c r="G13" s="31"/>
      <c r="H13" s="86"/>
      <c r="I13" s="86"/>
      <c r="J13" s="86"/>
      <c r="K13" s="86"/>
      <c r="L13" s="86"/>
      <c r="M13" s="86"/>
      <c r="N13" s="86"/>
      <c r="O13" s="86"/>
      <c r="P13" s="86"/>
    </row>
    <row r="14" spans="1:18" ht="15" x14ac:dyDescent="0.25">
      <c r="A14" s="3"/>
      <c r="B14" s="3" t="s">
        <v>27</v>
      </c>
      <c r="C14" s="3" t="s">
        <v>25</v>
      </c>
      <c r="D14" s="22"/>
      <c r="E14" s="3"/>
      <c r="F14" s="3"/>
      <c r="G14" s="31">
        <f>'p5c one year'!H17</f>
        <v>55018</v>
      </c>
      <c r="H14" s="33">
        <f>G14*(1+'Data to enter'!F6)</f>
        <v>56668.54</v>
      </c>
      <c r="I14" s="33">
        <f>H14*(1+'Data to enter'!G6)</f>
        <v>58368.5962</v>
      </c>
      <c r="J14" s="33">
        <f>I14*(1+'Data to enter'!H6)</f>
        <v>60119.654086000002</v>
      </c>
      <c r="K14" s="33">
        <f>J14*(1+'Data to enter'!I6)</f>
        <v>61923.243708580005</v>
      </c>
      <c r="L14" s="33">
        <f>K14*(1+'Data to enter'!J6)</f>
        <v>63780.94101983741</v>
      </c>
      <c r="M14" s="33">
        <f>L14*(1+'Data to enter'!K6)</f>
        <v>65694.36925043253</v>
      </c>
      <c r="N14" s="33">
        <f>M14*(1+'Data to enter'!L6)</f>
        <v>67665.200327945509</v>
      </c>
      <c r="O14" s="33">
        <f>N14*(1+'Data to enter'!M6)</f>
        <v>69695.156337783876</v>
      </c>
      <c r="P14" s="33">
        <f>O14*(1+'Data to enter'!N6)</f>
        <v>71786.011027917397</v>
      </c>
    </row>
    <row r="15" spans="1:18" ht="15" x14ac:dyDescent="0.25">
      <c r="A15" s="3"/>
      <c r="B15" s="3"/>
      <c r="C15" s="3" t="s">
        <v>26</v>
      </c>
      <c r="D15" s="102"/>
      <c r="E15" s="3"/>
      <c r="F15" s="3"/>
      <c r="G15" s="3"/>
    </row>
    <row r="16" spans="1:18" ht="15" x14ac:dyDescent="0.25">
      <c r="A16" s="3"/>
      <c r="B16" s="3"/>
      <c r="C16" s="3"/>
      <c r="D16" s="3" t="s">
        <v>11</v>
      </c>
      <c r="E16" s="3"/>
      <c r="F16" s="3"/>
      <c r="G16" s="15">
        <f>G14/G6</f>
        <v>5.0016363636363637E-2</v>
      </c>
    </row>
    <row r="17" spans="1:18" ht="6.75" customHeight="1" x14ac:dyDescent="0.25">
      <c r="A17" s="3"/>
      <c r="B17" s="3"/>
      <c r="C17" s="3"/>
      <c r="D17" s="3"/>
      <c r="E17" s="3"/>
      <c r="F17" s="3"/>
      <c r="G17" s="3"/>
    </row>
    <row r="18" spans="1:18" ht="24" customHeight="1" x14ac:dyDescent="0.3">
      <c r="A18" s="3"/>
      <c r="B18" s="20" t="s">
        <v>1</v>
      </c>
      <c r="C18" s="18"/>
      <c r="D18" s="3"/>
      <c r="E18" s="3"/>
      <c r="F18" s="3"/>
      <c r="G18" s="3"/>
    </row>
    <row r="19" spans="1:18" ht="15" x14ac:dyDescent="0.25">
      <c r="A19" s="3"/>
      <c r="B19" s="3"/>
      <c r="C19" s="3"/>
      <c r="D19" s="3"/>
      <c r="E19" s="3"/>
      <c r="F19" s="3"/>
      <c r="G19" s="3"/>
    </row>
    <row r="20" spans="1:18" ht="15" x14ac:dyDescent="0.25">
      <c r="A20" s="3"/>
      <c r="B20" s="3" t="s">
        <v>7</v>
      </c>
      <c r="C20" s="3"/>
      <c r="D20" s="3"/>
      <c r="E20" s="34"/>
      <c r="F20" s="34"/>
      <c r="G20" s="35">
        <f>'p5c one year'!G23</f>
        <v>1900</v>
      </c>
      <c r="H20" s="33">
        <f>G20*(1+'Data to enter'!F8)</f>
        <v>1957</v>
      </c>
      <c r="I20" s="33">
        <f>H20*(1+'Data to enter'!G8)</f>
        <v>2015.71</v>
      </c>
      <c r="J20" s="33">
        <f>I20*(1+'Data to enter'!H8)</f>
        <v>2076.1813000000002</v>
      </c>
      <c r="K20" s="33">
        <f>J20*(1+'Data to enter'!I8)</f>
        <v>2138.4667390000004</v>
      </c>
      <c r="L20" s="33">
        <f>K20*(1+'Data to enter'!J8)</f>
        <v>2202.6207411700007</v>
      </c>
      <c r="M20" s="33">
        <f>L20*(1+'Data to enter'!K8)</f>
        <v>2268.6993634051009</v>
      </c>
      <c r="N20" s="33">
        <f>M20*(1+'Data to enter'!L8)</f>
        <v>2336.7603443072539</v>
      </c>
      <c r="O20" s="33">
        <f>N20*(1+'Data to enter'!M8)</f>
        <v>2406.8631546364718</v>
      </c>
      <c r="P20" s="33">
        <f>O20*(1+'Data to enter'!N8)</f>
        <v>2479.0690492755662</v>
      </c>
    </row>
    <row r="21" spans="1:18" ht="15" x14ac:dyDescent="0.25">
      <c r="A21" s="3"/>
      <c r="B21" s="3" t="s">
        <v>8</v>
      </c>
      <c r="C21" s="3"/>
      <c r="D21" s="3"/>
      <c r="E21" s="34"/>
      <c r="F21" s="34"/>
      <c r="G21" s="35">
        <f>'p5c one year'!G24</f>
        <v>100</v>
      </c>
      <c r="H21" s="33">
        <f>G21*(1+'Data to enter'!F8)</f>
        <v>103</v>
      </c>
      <c r="I21" s="33">
        <f>H21*(1+'Data to enter'!G8)</f>
        <v>106.09</v>
      </c>
      <c r="J21" s="33">
        <f>I21*(1+'Data to enter'!H8)</f>
        <v>109.2727</v>
      </c>
      <c r="K21" s="33">
        <f>J21*(1+'Data to enter'!I8)</f>
        <v>112.550881</v>
      </c>
      <c r="L21" s="33">
        <f>K21*(1+'Data to enter'!J8)</f>
        <v>115.92740743</v>
      </c>
      <c r="M21" s="33">
        <f>L21*(1+'Data to enter'!K8)</f>
        <v>119.4052296529</v>
      </c>
      <c r="N21" s="33">
        <f>M21*(1+'Data to enter'!L8)</f>
        <v>122.987386542487</v>
      </c>
      <c r="O21" s="33">
        <f>N21*(1+'Data to enter'!M8)</f>
        <v>126.67700813876162</v>
      </c>
      <c r="P21" s="33">
        <f>O21*(1+'Data to enter'!N8)</f>
        <v>130.47731838292447</v>
      </c>
    </row>
    <row r="22" spans="1:18" ht="15" x14ac:dyDescent="0.25">
      <c r="A22" s="3"/>
      <c r="B22" s="3" t="s">
        <v>14</v>
      </c>
      <c r="C22" s="3"/>
      <c r="D22" s="3"/>
      <c r="E22" s="34"/>
      <c r="F22" s="34"/>
      <c r="G22" s="35">
        <f>'p5c one year'!G25</f>
        <v>0</v>
      </c>
      <c r="H22" s="33">
        <f>G22*(1+'Data to enter'!F8)</f>
        <v>0</v>
      </c>
      <c r="I22" s="33">
        <f>H22*(1+'Data to enter'!G8)</f>
        <v>0</v>
      </c>
      <c r="J22" s="33">
        <f>I22*(1+'Data to enter'!H8)</f>
        <v>0</v>
      </c>
      <c r="K22" s="33">
        <f>J22*(1+'Data to enter'!I8)</f>
        <v>0</v>
      </c>
      <c r="L22" s="33">
        <f>K22*(1+'Data to enter'!J8)</f>
        <v>0</v>
      </c>
      <c r="M22" s="33">
        <f>L22*(1+'Data to enter'!K8)</f>
        <v>0</v>
      </c>
      <c r="N22" s="33">
        <f>M22*(1+'Data to enter'!L8)</f>
        <v>0</v>
      </c>
      <c r="O22" s="33">
        <f>N22*(1+'Data to enter'!M8)</f>
        <v>0</v>
      </c>
      <c r="P22" s="33">
        <f>O22*(1+'Data to enter'!N8)</f>
        <v>0</v>
      </c>
    </row>
    <row r="23" spans="1:18" ht="15" x14ac:dyDescent="0.25">
      <c r="A23" s="3"/>
      <c r="B23" s="3" t="s">
        <v>2</v>
      </c>
      <c r="C23" s="3"/>
      <c r="D23" s="3"/>
      <c r="E23" s="34"/>
      <c r="F23" s="34"/>
      <c r="G23" s="35">
        <f>'p5c one year'!G26</f>
        <v>2000</v>
      </c>
      <c r="H23" s="33">
        <f>G23*(1+'Data to enter'!F8)</f>
        <v>2060</v>
      </c>
      <c r="I23" s="33">
        <f>H23*(1+'Data to enter'!G8)</f>
        <v>2121.8000000000002</v>
      </c>
      <c r="J23" s="33">
        <f>I23*(1+'Data to enter'!H8)</f>
        <v>2185.4540000000002</v>
      </c>
      <c r="K23" s="33">
        <f>J23*(1+'Data to enter'!I8)</f>
        <v>2251.0176200000001</v>
      </c>
      <c r="L23" s="33">
        <f>K23*(1+'Data to enter'!J8)</f>
        <v>2318.5481486000003</v>
      </c>
      <c r="M23" s="33">
        <f>L23*(1+'Data to enter'!K8)</f>
        <v>2388.1045930580003</v>
      </c>
      <c r="N23" s="33">
        <f>M23*(1+'Data to enter'!L8)</f>
        <v>2459.7477308497405</v>
      </c>
      <c r="O23" s="33">
        <f>N23*(1+'Data to enter'!M8)</f>
        <v>2533.5401627752326</v>
      </c>
      <c r="P23" s="33">
        <f>O23*(1+'Data to enter'!N8)</f>
        <v>2609.5463676584895</v>
      </c>
    </row>
    <row r="24" spans="1:18" ht="15" x14ac:dyDescent="0.25">
      <c r="A24" s="3"/>
      <c r="B24" s="3" t="s">
        <v>28</v>
      </c>
      <c r="C24" s="3"/>
      <c r="D24" s="3" t="s">
        <v>29</v>
      </c>
      <c r="E24" s="36"/>
      <c r="F24" s="34"/>
      <c r="G24" s="31">
        <f>(G10/2*'Data to enter'!F10)+('p5c 10 year'!G10/2*'Data to enter'!F11)</f>
        <v>25097.423999999999</v>
      </c>
      <c r="H24" s="31">
        <f>(H10/2*'Data to enter'!G10)+('p5c 10 year'!H10/2*'Data to enter'!G11)</f>
        <v>25620.287</v>
      </c>
      <c r="I24" s="31">
        <f>(I10/2*'Data to enter'!H10)+('p5c 10 year'!I10/2*'Data to enter'!H11)</f>
        <v>26095.616999999998</v>
      </c>
      <c r="J24" s="31">
        <f>(J10/2*'Data to enter'!I10)+('p5c 10 year'!J10/2*'Data to enter'!I11)</f>
        <v>27283.942000000003</v>
      </c>
      <c r="K24" s="105">
        <f>(K10/2*'Data to enter'!J10)+('p5c 10 year'!K10/2*'Data to enter'!J11)</f>
        <v>28472.267</v>
      </c>
      <c r="L24" s="105">
        <f>(L10/2*'Data to enter'!K10)+('p5c 10 year'!L10/2*'Data to enter'!K11)</f>
        <v>34461.425000000003</v>
      </c>
      <c r="M24" s="31">
        <f>(M10/2*'Data to enter'!L10)+('p5c 10 year'!M10/2*'Data to enter'!L11)</f>
        <v>35649.75</v>
      </c>
      <c r="N24" s="31">
        <f>(N10/2*'Data to enter'!M10)+('p5c 10 year'!N10/2*'Data to enter'!M11)</f>
        <v>36838.074999999997</v>
      </c>
      <c r="O24" s="31">
        <f>(O10/2*'Data to enter'!N10)+('p5c 10 year'!O10/2*'Data to enter'!N11)</f>
        <v>38026.400000000001</v>
      </c>
      <c r="P24" s="31">
        <f>(P10/2*'Data to enter'!O10)+('p5c 10 year'!P10/2*'Data to enter'!O11)</f>
        <v>39214.725000000006</v>
      </c>
    </row>
    <row r="25" spans="1:18" ht="15" x14ac:dyDescent="0.25">
      <c r="A25" s="3"/>
      <c r="B25" s="3" t="s">
        <v>95</v>
      </c>
      <c r="C25" s="3"/>
      <c r="D25" s="3"/>
      <c r="E25" s="34"/>
      <c r="F25" s="34"/>
      <c r="G25" s="35">
        <f>'p5c one year'!G28</f>
        <v>5751.655999999999</v>
      </c>
      <c r="H25" s="31">
        <f>G25*(1+'Data to enter'!F8)</f>
        <v>5924.2056799999991</v>
      </c>
      <c r="I25" s="31">
        <f>H25*(1+'Data to enter'!G8)</f>
        <v>6101.9318503999993</v>
      </c>
      <c r="J25" s="31">
        <f>I25*(1+'Data to enter'!H8)</f>
        <v>6284.9898059119996</v>
      </c>
      <c r="K25" s="31">
        <f>J25*(1+'Data to enter'!I8)</f>
        <v>6473.5395000893595</v>
      </c>
      <c r="L25" s="31">
        <f>K25*(1+'Data to enter'!J8)</f>
        <v>6667.7456850920407</v>
      </c>
      <c r="M25" s="31">
        <f>L25*(1+'Data to enter'!K8)</f>
        <v>6867.7780556448024</v>
      </c>
      <c r="N25" s="31">
        <f>M25*(1+'Data to enter'!L8)</f>
        <v>7073.8113973141462</v>
      </c>
      <c r="O25" s="31">
        <f>N25*(1+'Data to enter'!M8)</f>
        <v>7286.0257392335707</v>
      </c>
      <c r="P25" s="31">
        <f>O25*(1+'Data to enter'!N8)</f>
        <v>7504.6065114105777</v>
      </c>
    </row>
    <row r="26" spans="1:18" ht="15" x14ac:dyDescent="0.25">
      <c r="A26" s="3"/>
      <c r="B26" s="3" t="s">
        <v>3</v>
      </c>
      <c r="C26" s="3"/>
      <c r="D26" s="3"/>
      <c r="E26" s="34"/>
      <c r="F26" s="34"/>
      <c r="G26" s="35">
        <f>'p5c one year'!G29</f>
        <v>4000</v>
      </c>
      <c r="H26" s="31">
        <f>G26*(1+'Data to enter'!F8)</f>
        <v>4120</v>
      </c>
      <c r="I26" s="31">
        <f>H26*(1+'Data to enter'!G8)</f>
        <v>4243.6000000000004</v>
      </c>
      <c r="J26" s="31">
        <f>I26*(1+'Data to enter'!H8)</f>
        <v>4370.9080000000004</v>
      </c>
      <c r="K26" s="31">
        <f>J26*(1+'Data to enter'!I8)</f>
        <v>4502.0352400000002</v>
      </c>
      <c r="L26" s="31">
        <f>K26*(1+'Data to enter'!J8)</f>
        <v>4637.0962972000007</v>
      </c>
      <c r="M26" s="31">
        <f>L26*(1+'Data to enter'!K8)</f>
        <v>4776.2091861160006</v>
      </c>
      <c r="N26" s="31">
        <f>M26*(1+'Data to enter'!L8)</f>
        <v>4919.495461699481</v>
      </c>
      <c r="O26" s="31">
        <f>N26*(1+'Data to enter'!M8)</f>
        <v>5067.0803255504652</v>
      </c>
      <c r="P26" s="31">
        <f>O26*(1+'Data to enter'!N8)</f>
        <v>5219.0927353169791</v>
      </c>
    </row>
    <row r="27" spans="1:18" ht="15" x14ac:dyDescent="0.25">
      <c r="A27" s="3"/>
      <c r="B27" s="3" t="s">
        <v>6</v>
      </c>
      <c r="C27" s="3"/>
      <c r="D27" s="3"/>
      <c r="E27" s="34"/>
      <c r="F27" s="34"/>
      <c r="G27" s="35">
        <f>'p5c one year'!G30</f>
        <v>3250</v>
      </c>
      <c r="H27" s="31">
        <f>G27*(1+'Data to enter'!F8)</f>
        <v>3347.5</v>
      </c>
      <c r="I27" s="31">
        <f>H27*(1+'Data to enter'!G8)</f>
        <v>3447.9250000000002</v>
      </c>
      <c r="J27" s="31">
        <f>I27*(1+'Data to enter'!H8)</f>
        <v>3551.3627500000002</v>
      </c>
      <c r="K27" s="31">
        <f>J27*(1+'Data to enter'!I8)</f>
        <v>3657.9036325000002</v>
      </c>
      <c r="L27" s="31">
        <f>K27*(1+'Data to enter'!J8)</f>
        <v>3767.6407414750001</v>
      </c>
      <c r="M27" s="31">
        <f>L27*(1+'Data to enter'!K8)</f>
        <v>3880.6699637192501</v>
      </c>
      <c r="N27" s="31">
        <f>M27*(1+'Data to enter'!L8)</f>
        <v>3997.0900626308276</v>
      </c>
      <c r="O27" s="31">
        <f>N27*(1+'Data to enter'!M8)</f>
        <v>4117.0027645097525</v>
      </c>
      <c r="P27" s="31">
        <f>O27*(1+'Data to enter'!N8)</f>
        <v>4240.5128474450448</v>
      </c>
    </row>
    <row r="28" spans="1:18" ht="15" x14ac:dyDescent="0.25">
      <c r="A28" s="3"/>
      <c r="B28" s="3" t="s">
        <v>22</v>
      </c>
      <c r="C28" s="3"/>
      <c r="D28" s="3"/>
      <c r="E28" s="34"/>
      <c r="F28" s="34"/>
      <c r="G28" s="35">
        <f>'p5c one year'!G31</f>
        <v>200</v>
      </c>
      <c r="H28" s="31">
        <f>G28*(1+'Data to enter'!F8)</f>
        <v>206</v>
      </c>
      <c r="I28" s="31">
        <f>H28*(1+'Data to enter'!G8)</f>
        <v>212.18</v>
      </c>
      <c r="J28" s="31">
        <f>I28*(1+'Data to enter'!H8)</f>
        <v>218.5454</v>
      </c>
      <c r="K28" s="31">
        <f>J28*(1+'Data to enter'!I8)</f>
        <v>225.10176200000001</v>
      </c>
      <c r="L28" s="31">
        <f>K28*(1+'Data to enter'!J8)</f>
        <v>231.85481486</v>
      </c>
      <c r="M28" s="31">
        <f>L28*(1+'Data to enter'!K8)</f>
        <v>238.81045930580001</v>
      </c>
      <c r="N28" s="31">
        <f>M28*(1+'Data to enter'!L8)</f>
        <v>245.974773084974</v>
      </c>
      <c r="O28" s="31">
        <f>N28*(1+'Data to enter'!M8)</f>
        <v>253.35401627752324</v>
      </c>
      <c r="P28" s="31">
        <f>O28*(1+'Data to enter'!N8)</f>
        <v>260.95463676584893</v>
      </c>
    </row>
    <row r="29" spans="1:18" ht="15" x14ac:dyDescent="0.25">
      <c r="A29" s="3"/>
      <c r="B29" s="3" t="s">
        <v>23</v>
      </c>
      <c r="C29" s="3"/>
      <c r="D29" s="3"/>
      <c r="E29" s="34"/>
      <c r="F29" s="34"/>
      <c r="G29" s="35">
        <f>'p5c one year'!G32</f>
        <v>600</v>
      </c>
      <c r="H29" s="31">
        <f>G29*(1+'Data to enter'!F8)</f>
        <v>618</v>
      </c>
      <c r="I29" s="31">
        <f>H29*(1+'Data to enter'!G8)</f>
        <v>636.54</v>
      </c>
      <c r="J29" s="31">
        <f>I29*(1+'Data to enter'!H8)</f>
        <v>655.63620000000003</v>
      </c>
      <c r="K29" s="31">
        <f>J29*(1+'Data to enter'!I8)</f>
        <v>675.30528600000002</v>
      </c>
      <c r="L29" s="31">
        <f>K29*(1+'Data to enter'!J8)</f>
        <v>695.56444457999999</v>
      </c>
      <c r="M29" s="31">
        <f>L29*(1+'Data to enter'!K8)</f>
        <v>716.43137791740003</v>
      </c>
      <c r="N29" s="31">
        <f>M29*(1+'Data to enter'!L8)</f>
        <v>737.92431925492201</v>
      </c>
      <c r="O29" s="31">
        <f>N29*(1+'Data to enter'!M8)</f>
        <v>760.06204883256964</v>
      </c>
      <c r="P29" s="31">
        <f>O29*(1+'Data to enter'!N8)</f>
        <v>782.86391029754679</v>
      </c>
    </row>
    <row r="30" spans="1:18" ht="15" x14ac:dyDescent="0.25">
      <c r="A30" s="3"/>
      <c r="B30" s="3" t="s">
        <v>5</v>
      </c>
      <c r="C30" s="3"/>
      <c r="D30" s="3"/>
      <c r="E30" s="34"/>
      <c r="F30" s="34"/>
      <c r="G30" s="35">
        <f>'p5c one year'!G33</f>
        <v>172</v>
      </c>
      <c r="H30" s="31">
        <f>G30*(1+'Data to enter'!F8)</f>
        <v>177.16</v>
      </c>
      <c r="I30" s="31">
        <f>H30*(1+'Data to enter'!G8)</f>
        <v>182.47479999999999</v>
      </c>
      <c r="J30" s="31">
        <f>I30*(1+'Data to enter'!H8)</f>
        <v>187.94904399999999</v>
      </c>
      <c r="K30" s="31">
        <f>J30*(1+'Data to enter'!I8)</f>
        <v>193.58751531999999</v>
      </c>
      <c r="L30" s="31">
        <f>K30*(1+'Data to enter'!J8)</f>
        <v>199.39514077960001</v>
      </c>
      <c r="M30" s="31">
        <f>L30*(1+'Data to enter'!K8)</f>
        <v>205.37699500298802</v>
      </c>
      <c r="N30" s="31">
        <f>M30*(1+'Data to enter'!L8)</f>
        <v>211.53830485307768</v>
      </c>
      <c r="O30" s="31">
        <f>N30*(1+'Data to enter'!M8)</f>
        <v>217.88445399867001</v>
      </c>
      <c r="P30" s="31">
        <f>O30*(1+'Data to enter'!N8)</f>
        <v>224.42098761863011</v>
      </c>
    </row>
    <row r="31" spans="1:18" ht="15" x14ac:dyDescent="0.25">
      <c r="A31" s="3"/>
      <c r="B31" s="3"/>
      <c r="C31" s="3"/>
      <c r="D31" s="3"/>
      <c r="E31" s="3"/>
      <c r="F31" s="3"/>
      <c r="G31" s="35"/>
    </row>
    <row r="32" spans="1:18" ht="17.399999999999999" x14ac:dyDescent="0.3">
      <c r="A32" s="3"/>
      <c r="B32" s="20" t="s">
        <v>4</v>
      </c>
      <c r="C32" s="20"/>
      <c r="D32" s="3"/>
      <c r="E32" s="3"/>
      <c r="F32" s="3"/>
      <c r="G32" s="117">
        <f>SUM(G20:G30)</f>
        <v>43071.08</v>
      </c>
      <c r="H32" s="117">
        <f t="shared" ref="H32:P32" si="1">SUM(H20:H30)</f>
        <v>44133.152679999999</v>
      </c>
      <c r="I32" s="117">
        <f t="shared" si="1"/>
        <v>45163.8686504</v>
      </c>
      <c r="J32" s="117">
        <f t="shared" si="1"/>
        <v>46924.241199912009</v>
      </c>
      <c r="K32" s="117">
        <f t="shared" si="1"/>
        <v>48701.775175909366</v>
      </c>
      <c r="L32" s="117">
        <f t="shared" si="1"/>
        <v>55297.818421186639</v>
      </c>
      <c r="M32" s="117">
        <f t="shared" si="1"/>
        <v>57111.235223822245</v>
      </c>
      <c r="N32" s="117">
        <f t="shared" si="1"/>
        <v>58943.404780536905</v>
      </c>
      <c r="O32" s="117">
        <f t="shared" si="1"/>
        <v>60794.889673953017</v>
      </c>
      <c r="P32" s="117">
        <f t="shared" si="1"/>
        <v>62666.269364171618</v>
      </c>
      <c r="Q32" s="86"/>
      <c r="R32" s="86"/>
    </row>
    <row r="33" spans="1:18" ht="15" x14ac:dyDescent="0.25">
      <c r="A33" s="3"/>
      <c r="B33" s="3"/>
      <c r="C33" s="3"/>
      <c r="D33" s="3"/>
      <c r="E33" s="3"/>
      <c r="F33" s="3"/>
      <c r="G33" s="31"/>
      <c r="H33" s="86"/>
      <c r="I33" s="86"/>
      <c r="J33" s="86"/>
      <c r="K33" s="86"/>
      <c r="L33" s="86"/>
      <c r="M33" s="86"/>
      <c r="N33" s="86"/>
      <c r="O33" s="86"/>
      <c r="P33" s="86"/>
      <c r="Q33" s="86"/>
      <c r="R33" s="86"/>
    </row>
    <row r="34" spans="1:18" ht="15" x14ac:dyDescent="0.25">
      <c r="A34" s="103"/>
      <c r="B34" s="104" t="s">
        <v>10</v>
      </c>
      <c r="C34" s="104"/>
      <c r="D34" s="104"/>
      <c r="E34" s="103"/>
      <c r="F34" s="103"/>
      <c r="G34" s="118">
        <f>G14-G32</f>
        <v>11946.919999999998</v>
      </c>
      <c r="H34" s="118">
        <f t="shared" ref="H34:P34" si="2">H14-H32</f>
        <v>12535.387320000002</v>
      </c>
      <c r="I34" s="118">
        <f t="shared" si="2"/>
        <v>13204.7275496</v>
      </c>
      <c r="J34" s="118">
        <f t="shared" si="2"/>
        <v>13195.412886087994</v>
      </c>
      <c r="K34" s="118">
        <f t="shared" si="2"/>
        <v>13221.468532670639</v>
      </c>
      <c r="L34" s="118">
        <f t="shared" si="2"/>
        <v>8483.1225986507707</v>
      </c>
      <c r="M34" s="118">
        <f t="shared" si="2"/>
        <v>8583.1340266102852</v>
      </c>
      <c r="N34" s="118">
        <f t="shared" si="2"/>
        <v>8721.7955474086048</v>
      </c>
      <c r="O34" s="118">
        <f t="shared" si="2"/>
        <v>8900.2666638308583</v>
      </c>
      <c r="P34" s="118">
        <f t="shared" si="2"/>
        <v>9119.7416637457791</v>
      </c>
      <c r="Q34" s="86"/>
      <c r="R34" s="86"/>
    </row>
    <row r="35" spans="1:18" ht="15" x14ac:dyDescent="0.25">
      <c r="A35" s="3"/>
      <c r="B35" s="3"/>
      <c r="C35" s="3"/>
      <c r="D35" s="3"/>
      <c r="E35" s="3"/>
      <c r="F35" s="3"/>
      <c r="G35" s="31"/>
      <c r="H35" s="86"/>
      <c r="I35" s="86"/>
      <c r="J35" s="86"/>
      <c r="K35" s="86"/>
      <c r="L35" s="86"/>
      <c r="M35" s="86"/>
      <c r="N35" s="86"/>
      <c r="O35" s="86"/>
      <c r="P35" s="86"/>
      <c r="Q35" s="86"/>
      <c r="R35" s="86"/>
    </row>
    <row r="36" spans="1:18" ht="15" x14ac:dyDescent="0.25">
      <c r="A36" s="3"/>
      <c r="B36" s="4" t="s">
        <v>12</v>
      </c>
      <c r="C36" s="4"/>
      <c r="D36" s="3"/>
      <c r="E36" s="3" t="s">
        <v>15</v>
      </c>
      <c r="F36" s="3"/>
      <c r="G36" s="31"/>
      <c r="H36" s="86"/>
      <c r="I36" s="86"/>
      <c r="J36" s="86"/>
      <c r="K36" s="86"/>
      <c r="L36" s="86"/>
      <c r="M36" s="86"/>
      <c r="N36" s="86"/>
      <c r="O36" s="86"/>
      <c r="P36" s="86"/>
      <c r="Q36" s="86"/>
      <c r="R36" s="86"/>
    </row>
    <row r="37" spans="1:18" ht="15" x14ac:dyDescent="0.25">
      <c r="A37" s="3"/>
      <c r="B37" s="3"/>
      <c r="C37" s="3"/>
      <c r="D37" s="3"/>
      <c r="E37" s="3" t="s">
        <v>16</v>
      </c>
      <c r="F37" s="3"/>
      <c r="G37" s="37">
        <f>'p5c one year'!H40</f>
        <v>6500</v>
      </c>
      <c r="H37" s="37">
        <f>G37*0.75</f>
        <v>4875</v>
      </c>
      <c r="I37" s="37">
        <f t="shared" ref="I37:P37" si="3">H37*0.75</f>
        <v>3656.25</v>
      </c>
      <c r="J37" s="37">
        <f t="shared" si="3"/>
        <v>2742.1875</v>
      </c>
      <c r="K37" s="37">
        <f t="shared" si="3"/>
        <v>2056.640625</v>
      </c>
      <c r="L37" s="37">
        <f t="shared" si="3"/>
        <v>1542.48046875</v>
      </c>
      <c r="M37" s="37">
        <f t="shared" si="3"/>
        <v>1156.8603515625</v>
      </c>
      <c r="N37" s="37">
        <f t="shared" si="3"/>
        <v>867.645263671875</v>
      </c>
      <c r="O37" s="37">
        <f t="shared" si="3"/>
        <v>650.73394775390625</v>
      </c>
      <c r="P37" s="37">
        <f t="shared" si="3"/>
        <v>488.05046081542969</v>
      </c>
      <c r="Q37" s="86"/>
      <c r="R37" s="86"/>
    </row>
    <row r="38" spans="1:18" ht="15" x14ac:dyDescent="0.25">
      <c r="A38" s="3"/>
      <c r="B38" s="3"/>
      <c r="C38" s="3"/>
      <c r="D38" s="3"/>
      <c r="E38" s="3"/>
      <c r="F38" s="3"/>
      <c r="G38" s="31"/>
      <c r="H38" s="86"/>
      <c r="I38" s="86"/>
      <c r="J38" s="86"/>
      <c r="K38" s="86"/>
      <c r="L38" s="86"/>
      <c r="M38" s="86"/>
      <c r="N38" s="86"/>
      <c r="O38" s="86"/>
      <c r="P38" s="86"/>
      <c r="Q38" s="86"/>
      <c r="R38" s="86"/>
    </row>
    <row r="39" spans="1:18" ht="15" x14ac:dyDescent="0.25">
      <c r="A39" s="3"/>
      <c r="B39" s="3"/>
      <c r="C39" s="3"/>
      <c r="D39" s="3"/>
      <c r="E39" s="3"/>
      <c r="F39" s="3"/>
      <c r="G39" s="31"/>
      <c r="H39" s="86"/>
      <c r="I39" s="86"/>
      <c r="J39" s="86"/>
      <c r="K39" s="86"/>
      <c r="L39" s="86"/>
      <c r="M39" s="86"/>
      <c r="N39" s="86"/>
      <c r="O39" s="86"/>
      <c r="P39" s="86"/>
      <c r="Q39" s="86"/>
      <c r="R39" s="86"/>
    </row>
    <row r="40" spans="1:18" ht="15" x14ac:dyDescent="0.25">
      <c r="A40" s="3"/>
      <c r="B40" s="4" t="s">
        <v>13</v>
      </c>
      <c r="C40" s="4"/>
      <c r="D40" s="4"/>
      <c r="E40" s="4"/>
      <c r="F40" s="4"/>
      <c r="G40" s="17">
        <f>G34-G37</f>
        <v>5446.9199999999983</v>
      </c>
      <c r="H40" s="17">
        <f t="shared" ref="H40:P40" si="4">H34-H37</f>
        <v>7660.3873200000016</v>
      </c>
      <c r="I40" s="17">
        <f t="shared" si="4"/>
        <v>9548.4775496000002</v>
      </c>
      <c r="J40" s="17">
        <f t="shared" si="4"/>
        <v>10453.225386087994</v>
      </c>
      <c r="K40" s="17">
        <f t="shared" si="4"/>
        <v>11164.827907670639</v>
      </c>
      <c r="L40" s="17">
        <f t="shared" si="4"/>
        <v>6940.6421299007707</v>
      </c>
      <c r="M40" s="17">
        <f t="shared" si="4"/>
        <v>7426.2736750477852</v>
      </c>
      <c r="N40" s="17">
        <f t="shared" si="4"/>
        <v>7854.1502837367298</v>
      </c>
      <c r="O40" s="17">
        <f t="shared" si="4"/>
        <v>8249.5327160769521</v>
      </c>
      <c r="P40" s="17">
        <f t="shared" si="4"/>
        <v>8631.6912029303494</v>
      </c>
      <c r="Q40" s="86"/>
      <c r="R40" s="86"/>
    </row>
    <row r="41" spans="1:18" ht="15" x14ac:dyDescent="0.25">
      <c r="A41" s="3"/>
      <c r="B41" s="4"/>
      <c r="C41" s="4"/>
      <c r="D41" s="4"/>
      <c r="E41" s="4"/>
      <c r="F41" s="4"/>
      <c r="G41" s="17"/>
      <c r="H41" s="86"/>
      <c r="I41" s="86"/>
      <c r="J41" s="86"/>
      <c r="K41" s="86"/>
      <c r="L41" s="86"/>
      <c r="M41" s="86"/>
      <c r="N41" s="86"/>
      <c r="O41" s="86"/>
      <c r="P41" s="86"/>
      <c r="Q41" s="86"/>
      <c r="R41" s="86"/>
    </row>
    <row r="42" spans="1:18" ht="17.399999999999999" x14ac:dyDescent="0.3">
      <c r="A42" s="3"/>
      <c r="B42" s="21" t="s">
        <v>30</v>
      </c>
      <c r="C42" s="4"/>
      <c r="D42" s="4"/>
      <c r="E42" s="36"/>
      <c r="F42" s="4"/>
      <c r="G42" s="17">
        <f>IF(G40&lt;0,0,-(G40*$G$43*$E$43)+-(G40*$G$44*$E$44))</f>
        <v>-1789.0408739999993</v>
      </c>
      <c r="H42" s="17">
        <f>IF(H40&lt;0,0,-(H40*$G$43*$E$43)+-(H40*$G$44*$E$44))</f>
        <v>-2516.0542152540006</v>
      </c>
      <c r="I42" s="17">
        <f t="shared" ref="I42:P42" si="5">IF(I40&lt;0,0,-(I40*$G$43*$E$43)+-(I40*$G$44*$E$44))</f>
        <v>-3136.1974511661206</v>
      </c>
      <c r="J42" s="17">
        <f t="shared" si="5"/>
        <v>-3433.3618780606021</v>
      </c>
      <c r="K42" s="17">
        <f t="shared" si="5"/>
        <v>-3667.0877262744211</v>
      </c>
      <c r="L42" s="17">
        <f t="shared" si="5"/>
        <v>-2279.6539075659084</v>
      </c>
      <c r="M42" s="17">
        <f t="shared" si="5"/>
        <v>-2439.1595885694446</v>
      </c>
      <c r="N42" s="17">
        <f t="shared" si="5"/>
        <v>-2579.6956606933286</v>
      </c>
      <c r="O42" s="17">
        <f t="shared" si="5"/>
        <v>-2709.559020595475</v>
      </c>
      <c r="P42" s="17">
        <f t="shared" si="5"/>
        <v>-2835.0789756024733</v>
      </c>
      <c r="Q42" s="86"/>
      <c r="R42" s="86">
        <f>SUM(H42:P42)</f>
        <v>-25595.848423781776</v>
      </c>
    </row>
    <row r="43" spans="1:18" ht="15" x14ac:dyDescent="0.25">
      <c r="A43" s="3"/>
      <c r="B43" s="4"/>
      <c r="C43" s="4" t="s">
        <v>32</v>
      </c>
      <c r="D43" s="4" t="s">
        <v>31</v>
      </c>
      <c r="E43" s="36">
        <f>'p5c one year'!E46</f>
        <v>0.33</v>
      </c>
      <c r="F43" s="4"/>
      <c r="G43" s="16">
        <f>'p5c one year'!G46</f>
        <v>0.99</v>
      </c>
      <c r="K43" s="87"/>
      <c r="L43" s="87"/>
      <c r="M43" s="87"/>
      <c r="N43" s="87"/>
    </row>
    <row r="44" spans="1:18" ht="15" x14ac:dyDescent="0.25">
      <c r="A44" s="3"/>
      <c r="B44" s="4"/>
      <c r="C44" s="4" t="s">
        <v>34</v>
      </c>
      <c r="D44" s="4"/>
      <c r="E44" s="36">
        <f>'p5c one year'!E47</f>
        <v>0.17499999999999999</v>
      </c>
      <c r="F44" s="4"/>
      <c r="G44" s="16">
        <f>'p5c one year'!G47</f>
        <v>0.01</v>
      </c>
    </row>
    <row r="45" spans="1:18" ht="15" x14ac:dyDescent="0.25">
      <c r="A45" s="3"/>
      <c r="B45" s="2"/>
      <c r="C45" s="2"/>
      <c r="D45" s="2"/>
      <c r="E45" s="2"/>
      <c r="F45" s="2"/>
      <c r="G45" s="2"/>
    </row>
    <row r="46" spans="1:18" ht="18" thickBot="1" x14ac:dyDescent="0.35">
      <c r="A46" s="3"/>
      <c r="B46" s="4" t="s">
        <v>36</v>
      </c>
      <c r="C46" s="2"/>
      <c r="D46" s="2"/>
      <c r="E46" s="2"/>
      <c r="F46" s="2"/>
      <c r="G46" s="30">
        <f>G34+G42</f>
        <v>10157.879126</v>
      </c>
      <c r="H46" s="30">
        <f t="shared" ref="H46:P46" si="6">H34+H42</f>
        <v>10019.333104746001</v>
      </c>
      <c r="I46" s="30">
        <f t="shared" si="6"/>
        <v>10068.530098433879</v>
      </c>
      <c r="J46" s="30">
        <f t="shared" si="6"/>
        <v>9762.0510080273925</v>
      </c>
      <c r="K46" s="30">
        <f t="shared" si="6"/>
        <v>9554.3808063962169</v>
      </c>
      <c r="L46" s="30">
        <f t="shared" si="6"/>
        <v>6203.4686910848623</v>
      </c>
      <c r="M46" s="30">
        <f t="shared" si="6"/>
        <v>6143.9744380408411</v>
      </c>
      <c r="N46" s="30">
        <f t="shared" si="6"/>
        <v>6142.0998867152757</v>
      </c>
      <c r="O46" s="30">
        <f t="shared" si="6"/>
        <v>6190.7076432353833</v>
      </c>
      <c r="P46" s="30">
        <f t="shared" si="6"/>
        <v>6284.6626881433058</v>
      </c>
    </row>
    <row r="47" spans="1:18" ht="15.6" thickTop="1" x14ac:dyDescent="0.25">
      <c r="A47" s="3"/>
      <c r="B47" s="3"/>
      <c r="C47" s="3"/>
      <c r="D47" s="3"/>
      <c r="E47" s="3"/>
      <c r="F47" s="3"/>
      <c r="G47" s="31"/>
    </row>
    <row r="48" spans="1:18" ht="15" x14ac:dyDescent="0.25">
      <c r="A48" s="3"/>
      <c r="B48" s="4" t="s">
        <v>17</v>
      </c>
      <c r="C48" s="3"/>
      <c r="D48" s="3"/>
      <c r="E48" s="3"/>
      <c r="F48" s="3"/>
      <c r="G48" s="17">
        <f>G46/52</f>
        <v>195.34382934615385</v>
      </c>
      <c r="H48" s="17">
        <f t="shared" ref="H48:P48" si="7">H46/52</f>
        <v>192.67948278357696</v>
      </c>
      <c r="I48" s="17">
        <f t="shared" si="7"/>
        <v>193.62557881603612</v>
      </c>
      <c r="J48" s="17">
        <f t="shared" si="7"/>
        <v>187.73175015437295</v>
      </c>
      <c r="K48" s="17">
        <f t="shared" si="7"/>
        <v>183.73809243069647</v>
      </c>
      <c r="L48" s="17">
        <f t="shared" si="7"/>
        <v>119.29747482855504</v>
      </c>
      <c r="M48" s="17">
        <f t="shared" si="7"/>
        <v>118.15335457770848</v>
      </c>
      <c r="N48" s="17">
        <f t="shared" si="7"/>
        <v>118.1173055137553</v>
      </c>
      <c r="O48" s="17">
        <f t="shared" si="7"/>
        <v>119.05207006221892</v>
      </c>
      <c r="P48" s="17">
        <f t="shared" si="7"/>
        <v>120.85889784890972</v>
      </c>
    </row>
    <row r="49" spans="1:18" ht="15" x14ac:dyDescent="0.25">
      <c r="A49" s="3"/>
      <c r="B49" s="3"/>
      <c r="C49" s="3"/>
      <c r="D49" s="3"/>
      <c r="E49" s="3"/>
      <c r="F49" s="3"/>
      <c r="G49" s="9"/>
    </row>
    <row r="50" spans="1:18" ht="15" x14ac:dyDescent="0.25">
      <c r="A50" s="3"/>
      <c r="B50" s="3"/>
      <c r="C50" s="3"/>
      <c r="D50" s="3"/>
      <c r="E50" s="3"/>
      <c r="F50" s="3"/>
      <c r="G50" s="15"/>
    </row>
    <row r="51" spans="1:18" ht="15" x14ac:dyDescent="0.25">
      <c r="A51" s="3"/>
      <c r="B51" s="3" t="s">
        <v>50</v>
      </c>
      <c r="C51" s="3"/>
      <c r="D51" s="3"/>
      <c r="E51" s="3"/>
      <c r="F51" s="3"/>
      <c r="G51" s="31">
        <f>G6-G10</f>
        <v>149340</v>
      </c>
      <c r="H51" s="31">
        <f t="shared" ref="H51:P51" si="8">H6-H10</f>
        <v>149340</v>
      </c>
      <c r="I51" s="31">
        <f t="shared" si="8"/>
        <v>149340</v>
      </c>
      <c r="J51" s="31">
        <f t="shared" si="8"/>
        <v>176840</v>
      </c>
      <c r="K51" s="31">
        <f t="shared" si="8"/>
        <v>233215</v>
      </c>
      <c r="L51" s="31">
        <f t="shared" si="8"/>
        <v>316086.25</v>
      </c>
      <c r="M51" s="31">
        <f t="shared" si="8"/>
        <v>430093.41250000009</v>
      </c>
      <c r="N51" s="31">
        <f t="shared" si="8"/>
        <v>581976.28787500015</v>
      </c>
      <c r="O51" s="31">
        <f t="shared" si="8"/>
        <v>811871.73105624993</v>
      </c>
      <c r="P51" s="31">
        <f t="shared" si="8"/>
        <v>988124.90416187514</v>
      </c>
      <c r="R51" s="86">
        <f>P51-R8</f>
        <v>838124.90416187514</v>
      </c>
    </row>
    <row r="52" spans="1:18" ht="15" x14ac:dyDescent="0.25">
      <c r="A52" s="3"/>
      <c r="B52" s="3" t="s">
        <v>51</v>
      </c>
      <c r="C52" s="2"/>
      <c r="D52" s="2"/>
      <c r="E52" s="2"/>
      <c r="F52" s="3"/>
      <c r="G52" s="31">
        <f>G46</f>
        <v>10157.879126</v>
      </c>
      <c r="H52" s="31">
        <f>G52+H46</f>
        <v>20177.212230746001</v>
      </c>
      <c r="I52" s="31">
        <f t="shared" ref="I52:P52" si="9">H52+I46</f>
        <v>30245.74232917988</v>
      </c>
      <c r="J52" s="31">
        <f t="shared" si="9"/>
        <v>40007.793337207273</v>
      </c>
      <c r="K52" s="31">
        <f t="shared" si="9"/>
        <v>49562.174143603494</v>
      </c>
      <c r="L52" s="31">
        <f t="shared" si="9"/>
        <v>55765.642834688355</v>
      </c>
      <c r="M52" s="31">
        <f t="shared" si="9"/>
        <v>61909.6172727292</v>
      </c>
      <c r="N52" s="31">
        <f t="shared" si="9"/>
        <v>68051.717159444481</v>
      </c>
      <c r="O52" s="31">
        <f t="shared" si="9"/>
        <v>74242.42480267986</v>
      </c>
      <c r="P52" s="31">
        <f t="shared" si="9"/>
        <v>80527.087490823164</v>
      </c>
    </row>
    <row r="53" spans="1:18" ht="14.25" customHeight="1" x14ac:dyDescent="0.25">
      <c r="A53" s="3"/>
      <c r="B53" s="3"/>
      <c r="C53" s="3"/>
      <c r="D53" s="3"/>
      <c r="E53" s="3"/>
      <c r="F53" s="3"/>
      <c r="G53" s="9"/>
    </row>
    <row r="54" spans="1:18" ht="15" hidden="1" x14ac:dyDescent="0.25">
      <c r="A54" s="3"/>
      <c r="B54" s="10"/>
      <c r="C54" s="10"/>
      <c r="D54" s="10"/>
      <c r="E54" s="10"/>
      <c r="F54" s="10"/>
      <c r="G54" s="11"/>
    </row>
    <row r="55" spans="1:18" hidden="1" x14ac:dyDescent="0.25">
      <c r="B55" s="12"/>
      <c r="C55" s="12"/>
      <c r="D55" s="12"/>
      <c r="E55" s="12"/>
      <c r="F55" s="12"/>
      <c r="G55" s="12"/>
    </row>
    <row r="56" spans="1:18" hidden="1" x14ac:dyDescent="0.25">
      <c r="A56" s="1"/>
      <c r="B56" s="13"/>
      <c r="C56" s="14"/>
      <c r="D56" s="13"/>
      <c r="E56" s="13"/>
      <c r="F56" s="13"/>
      <c r="G56" s="13"/>
    </row>
    <row r="57" spans="1:18" hidden="1" x14ac:dyDescent="0.25">
      <c r="A57" s="1"/>
      <c r="B57" s="1"/>
      <c r="C57" s="1"/>
      <c r="D57" s="1"/>
      <c r="E57" s="1"/>
      <c r="F57" s="1"/>
      <c r="G57" s="1"/>
    </row>
    <row r="58" spans="1:18" ht="29.4" x14ac:dyDescent="0.45">
      <c r="A58" s="1"/>
      <c r="B58" s="201"/>
      <c r="C58" s="201"/>
      <c r="D58" s="201"/>
      <c r="E58" s="201"/>
      <c r="F58" s="201"/>
      <c r="G58" s="201"/>
    </row>
    <row r="59" spans="1:18" ht="29.4" x14ac:dyDescent="0.45">
      <c r="A59" s="1"/>
      <c r="B59" s="38" t="s">
        <v>53</v>
      </c>
      <c r="C59" s="119"/>
      <c r="D59" s="119"/>
      <c r="E59" s="119"/>
      <c r="F59" s="119"/>
      <c r="G59" s="119"/>
    </row>
    <row r="60" spans="1:18" ht="29.4" x14ac:dyDescent="0.45">
      <c r="A60" s="1"/>
      <c r="B60" s="119"/>
      <c r="C60" s="119"/>
      <c r="D60" s="119"/>
      <c r="E60" s="119"/>
      <c r="F60" s="119"/>
      <c r="G60" s="119"/>
    </row>
    <row r="61" spans="1:18" ht="15" x14ac:dyDescent="0.25">
      <c r="A61" s="1"/>
      <c r="B61" s="39" t="s">
        <v>54</v>
      </c>
      <c r="C61" s="40"/>
      <c r="D61" s="40"/>
      <c r="E61" s="40"/>
      <c r="F61" s="40"/>
      <c r="G61" s="40"/>
    </row>
    <row r="62" spans="1:18" ht="15" x14ac:dyDescent="0.25">
      <c r="A62" s="1"/>
      <c r="B62" s="41"/>
      <c r="C62" s="41"/>
      <c r="D62" s="41"/>
      <c r="E62" s="41"/>
      <c r="F62" s="41"/>
      <c r="G62" s="41"/>
    </row>
    <row r="63" spans="1:18" ht="15" x14ac:dyDescent="0.25">
      <c r="A63" s="1"/>
      <c r="B63" s="3" t="s">
        <v>55</v>
      </c>
      <c r="C63" s="41"/>
      <c r="D63" s="41"/>
      <c r="E63" s="41"/>
      <c r="F63" s="41"/>
      <c r="G63" s="41"/>
    </row>
    <row r="64" spans="1:18" ht="15" x14ac:dyDescent="0.25">
      <c r="A64" s="3"/>
      <c r="B64" s="3"/>
      <c r="C64" s="3"/>
      <c r="D64" s="3"/>
      <c r="E64" s="3"/>
      <c r="F64" s="3"/>
      <c r="G64" s="3"/>
    </row>
    <row r="65" spans="1:7" ht="15" x14ac:dyDescent="0.25">
      <c r="A65" s="3"/>
      <c r="B65" s="3" t="s">
        <v>56</v>
      </c>
      <c r="C65" s="3"/>
      <c r="D65" s="3"/>
      <c r="E65" s="3"/>
      <c r="F65" s="3"/>
      <c r="G65" s="3"/>
    </row>
    <row r="66" spans="1:7" ht="15" x14ac:dyDescent="0.25">
      <c r="A66" s="3"/>
      <c r="B66" s="4"/>
      <c r="C66" s="3"/>
      <c r="D66" s="3"/>
      <c r="E66" s="3"/>
      <c r="F66" s="3"/>
      <c r="G66" s="3"/>
    </row>
    <row r="67" spans="1:7" ht="15" x14ac:dyDescent="0.25">
      <c r="A67" s="3"/>
      <c r="B67" s="3" t="s">
        <v>57</v>
      </c>
      <c r="C67" s="3"/>
      <c r="D67" s="3"/>
      <c r="E67" s="3"/>
      <c r="F67" s="3"/>
      <c r="G67" s="3"/>
    </row>
    <row r="68" spans="1:7" ht="15" x14ac:dyDescent="0.25">
      <c r="A68" s="3"/>
      <c r="B68" s="3"/>
      <c r="C68" s="3"/>
      <c r="D68" s="3"/>
      <c r="E68" s="3"/>
      <c r="F68" s="3"/>
      <c r="G68" s="3"/>
    </row>
    <row r="69" spans="1:7" ht="15" x14ac:dyDescent="0.25">
      <c r="A69" s="3"/>
      <c r="B69" s="3" t="s">
        <v>58</v>
      </c>
      <c r="C69" s="3"/>
      <c r="D69" s="3"/>
      <c r="E69" s="3"/>
      <c r="F69" s="3"/>
      <c r="G69" s="3"/>
    </row>
    <row r="70" spans="1:7" ht="15" x14ac:dyDescent="0.25">
      <c r="A70" s="3"/>
      <c r="B70" s="3"/>
      <c r="C70" s="3"/>
      <c r="D70" s="3"/>
      <c r="E70" s="3"/>
      <c r="F70" s="3"/>
      <c r="G70" s="3"/>
    </row>
    <row r="71" spans="1:7" ht="15" x14ac:dyDescent="0.25">
      <c r="A71" s="3"/>
      <c r="B71" s="3" t="s">
        <v>60</v>
      </c>
      <c r="C71" s="3"/>
      <c r="D71" s="3"/>
      <c r="E71" s="3"/>
      <c r="F71" s="3"/>
      <c r="G71" s="3" t="s">
        <v>88</v>
      </c>
    </row>
    <row r="72" spans="1:7" ht="15" x14ac:dyDescent="0.25">
      <c r="A72" s="3"/>
      <c r="B72" s="3"/>
      <c r="C72" s="3"/>
      <c r="D72" s="3"/>
      <c r="E72" s="3"/>
      <c r="F72" s="3"/>
      <c r="G72" s="3"/>
    </row>
    <row r="73" spans="1:7" ht="15" x14ac:dyDescent="0.25">
      <c r="A73" s="3"/>
      <c r="B73" s="3"/>
      <c r="C73" s="3"/>
      <c r="D73" s="3"/>
      <c r="E73" s="3"/>
      <c r="F73" s="3"/>
      <c r="G73" s="3"/>
    </row>
    <row r="74" spans="1:7" ht="15" x14ac:dyDescent="0.25">
      <c r="A74" s="3"/>
      <c r="B74" s="3"/>
      <c r="C74" s="3"/>
      <c r="D74" s="3"/>
      <c r="E74" s="3"/>
      <c r="F74" s="3"/>
      <c r="G74" s="3"/>
    </row>
    <row r="75" spans="1:7" ht="15" x14ac:dyDescent="0.25">
      <c r="A75" s="3"/>
      <c r="B75" s="3"/>
      <c r="C75" s="3"/>
      <c r="D75" s="3"/>
      <c r="E75" s="3"/>
      <c r="F75" s="3"/>
      <c r="G75" s="3"/>
    </row>
    <row r="76" spans="1:7" ht="15" x14ac:dyDescent="0.25">
      <c r="A76" s="3"/>
      <c r="B76" s="3"/>
      <c r="C76" s="3"/>
      <c r="D76" s="3"/>
      <c r="E76" s="3"/>
      <c r="F76" s="3"/>
      <c r="G76" s="3"/>
    </row>
    <row r="77" spans="1:7" ht="15" x14ac:dyDescent="0.25">
      <c r="A77" s="3"/>
      <c r="B77" s="3"/>
      <c r="C77" s="3"/>
      <c r="D77" s="3"/>
      <c r="E77" s="3"/>
      <c r="F77" s="3"/>
      <c r="G77" s="3"/>
    </row>
    <row r="78" spans="1:7" ht="15" x14ac:dyDescent="0.25">
      <c r="A78" s="3"/>
      <c r="B78" s="3"/>
      <c r="C78" s="3"/>
      <c r="D78" s="3"/>
      <c r="E78" s="3"/>
      <c r="F78" s="3"/>
      <c r="G78" s="3"/>
    </row>
    <row r="79" spans="1:7" ht="15" x14ac:dyDescent="0.25">
      <c r="A79" s="3"/>
      <c r="B79" s="3"/>
      <c r="C79" s="3"/>
      <c r="D79" s="3"/>
      <c r="E79" s="3"/>
      <c r="F79" s="3"/>
      <c r="G79" s="3"/>
    </row>
    <row r="80" spans="1:7" ht="15" x14ac:dyDescent="0.25">
      <c r="A80" s="3"/>
      <c r="B80" s="3"/>
      <c r="C80" s="3"/>
      <c r="D80" s="3"/>
      <c r="E80" s="3"/>
      <c r="F80" s="3"/>
      <c r="G80" s="3"/>
    </row>
    <row r="81" spans="1:7" ht="15" x14ac:dyDescent="0.25">
      <c r="A81" s="3"/>
      <c r="B81" s="3"/>
      <c r="C81" s="3"/>
      <c r="D81" s="3"/>
      <c r="E81" s="3"/>
      <c r="F81" s="3"/>
      <c r="G81" s="3"/>
    </row>
    <row r="82" spans="1:7" ht="15" x14ac:dyDescent="0.25">
      <c r="A82" s="3"/>
      <c r="B82" s="3"/>
      <c r="C82" s="3"/>
      <c r="D82" s="3"/>
      <c r="E82" s="3"/>
      <c r="F82" s="3"/>
      <c r="G82" s="3"/>
    </row>
    <row r="83" spans="1:7" ht="15" x14ac:dyDescent="0.25">
      <c r="A83" s="3"/>
      <c r="B83" s="3"/>
      <c r="C83" s="3"/>
      <c r="D83" s="3"/>
      <c r="E83" s="3"/>
      <c r="F83" s="3"/>
      <c r="G83" s="3"/>
    </row>
    <row r="84" spans="1:7" ht="15" x14ac:dyDescent="0.25">
      <c r="A84" s="3"/>
      <c r="B84" s="3"/>
      <c r="C84" s="3"/>
      <c r="D84" s="3"/>
      <c r="E84" s="3"/>
      <c r="F84" s="3"/>
      <c r="G84" s="3"/>
    </row>
    <row r="85" spans="1:7" ht="15" x14ac:dyDescent="0.25">
      <c r="A85" s="3"/>
      <c r="B85" s="3"/>
      <c r="C85" s="3"/>
      <c r="D85" s="3"/>
      <c r="E85" s="3"/>
      <c r="F85" s="3"/>
      <c r="G85" s="3"/>
    </row>
    <row r="86" spans="1:7" ht="15" x14ac:dyDescent="0.25">
      <c r="A86" s="3"/>
      <c r="B86" s="3"/>
      <c r="C86" s="3"/>
      <c r="D86" s="3"/>
      <c r="E86" s="3"/>
      <c r="F86" s="3"/>
      <c r="G86" s="3"/>
    </row>
    <row r="87" spans="1:7" ht="15" x14ac:dyDescent="0.25">
      <c r="A87" s="3"/>
      <c r="B87" s="3"/>
      <c r="C87" s="3"/>
      <c r="D87" s="3"/>
      <c r="E87" s="3"/>
      <c r="F87" s="3"/>
      <c r="G87" s="3"/>
    </row>
    <row r="88" spans="1:7" ht="15" x14ac:dyDescent="0.25">
      <c r="A88" s="3"/>
      <c r="B88" s="2"/>
      <c r="C88" s="2"/>
      <c r="D88" s="2"/>
      <c r="E88" s="2"/>
      <c r="F88" s="2"/>
      <c r="G88" s="2"/>
    </row>
    <row r="89" spans="1:7" ht="15" x14ac:dyDescent="0.25">
      <c r="A89" s="3"/>
      <c r="B89" s="2"/>
      <c r="C89" s="2"/>
      <c r="D89" s="2"/>
      <c r="E89" s="2"/>
      <c r="F89" s="2"/>
      <c r="G89" s="2"/>
    </row>
    <row r="90" spans="1:7" ht="15" x14ac:dyDescent="0.25">
      <c r="A90" s="3"/>
      <c r="B90" s="2"/>
      <c r="C90" s="2"/>
      <c r="D90" s="2"/>
      <c r="E90" s="2"/>
      <c r="F90" s="2"/>
      <c r="G90" s="2"/>
    </row>
    <row r="91" spans="1:7" ht="15" x14ac:dyDescent="0.25">
      <c r="A91" s="3"/>
      <c r="B91" s="2"/>
      <c r="C91" s="2"/>
      <c r="D91" s="2"/>
      <c r="E91" s="2"/>
      <c r="F91" s="2"/>
      <c r="G91" s="2"/>
    </row>
    <row r="92" spans="1:7" ht="15" x14ac:dyDescent="0.25">
      <c r="A92" s="3"/>
      <c r="B92" s="5"/>
      <c r="C92" s="5"/>
      <c r="D92" s="5"/>
      <c r="E92" s="5"/>
      <c r="F92" s="5"/>
      <c r="G92" s="5"/>
    </row>
    <row r="93" spans="1:7" ht="15" x14ac:dyDescent="0.25">
      <c r="B93" s="6"/>
      <c r="C93" s="6"/>
      <c r="D93" s="6"/>
      <c r="E93" s="6"/>
      <c r="F93" s="7"/>
      <c r="G93" s="6"/>
    </row>
  </sheetData>
  <sheetProtection algorithmName="SHA-512" hashValue="8lXWkLpWUaAa2emEKgOHovJN+O0VRtHE0cRtV3axYXwS4CLbbuiL03q7WYOz+c3kU6dBZGu85KkFIPfhm5Lcaw==" saltValue="9LG2p9j+uJpv/INnXLMIWA==" spinCount="100000" sheet="1" selectLockedCells="1"/>
  <mergeCells count="3">
    <mergeCell ref="A1:G1"/>
    <mergeCell ref="E2:H2"/>
    <mergeCell ref="B58:G58"/>
  </mergeCells>
  <pageMargins left="0.75" right="0.75" top="1" bottom="1" header="0.5" footer="0.5"/>
  <pageSetup paperSize="9" scale="45" orientation="landscape" r:id="rId1"/>
  <headerFooter alignWithMargins="0">
    <oddFooter>&amp;CThis is based on estimated costs and returns.</oddFooter>
  </headerFooter>
  <drawing r:id="rId2"/>
  <legacy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AO10"/>
  <sheetViews>
    <sheetView workbookViewId="0">
      <selection activeCell="G24" sqref="G24"/>
    </sheetView>
  </sheetViews>
  <sheetFormatPr defaultRowHeight="14.4" x14ac:dyDescent="0.3"/>
  <cols>
    <col min="1" max="1" width="9.109375" style="23"/>
    <col min="2" max="2" width="17.109375" style="23" customWidth="1"/>
    <col min="3" max="257" width="9.109375" style="23"/>
    <col min="258" max="258" width="17.109375" style="23" customWidth="1"/>
    <col min="259" max="513" width="9.109375" style="23"/>
    <col min="514" max="514" width="17.109375" style="23" customWidth="1"/>
    <col min="515" max="769" width="9.109375" style="23"/>
    <col min="770" max="770" width="17.109375" style="23" customWidth="1"/>
    <col min="771" max="1025" width="9.109375" style="23"/>
    <col min="1026" max="1026" width="17.109375" style="23" customWidth="1"/>
    <col min="1027" max="1281" width="9.109375" style="23"/>
    <col min="1282" max="1282" width="17.109375" style="23" customWidth="1"/>
    <col min="1283" max="1537" width="9.109375" style="23"/>
    <col min="1538" max="1538" width="17.109375" style="23" customWidth="1"/>
    <col min="1539" max="1793" width="9.109375" style="23"/>
    <col min="1794" max="1794" width="17.109375" style="23" customWidth="1"/>
    <col min="1795" max="2049" width="9.109375" style="23"/>
    <col min="2050" max="2050" width="17.109375" style="23" customWidth="1"/>
    <col min="2051" max="2305" width="9.109375" style="23"/>
    <col min="2306" max="2306" width="17.109375" style="23" customWidth="1"/>
    <col min="2307" max="2561" width="9.109375" style="23"/>
    <col min="2562" max="2562" width="17.109375" style="23" customWidth="1"/>
    <col min="2563" max="2817" width="9.109375" style="23"/>
    <col min="2818" max="2818" width="17.109375" style="23" customWidth="1"/>
    <col min="2819" max="3073" width="9.109375" style="23"/>
    <col min="3074" max="3074" width="17.109375" style="23" customWidth="1"/>
    <col min="3075" max="3329" width="9.109375" style="23"/>
    <col min="3330" max="3330" width="17.109375" style="23" customWidth="1"/>
    <col min="3331" max="3585" width="9.109375" style="23"/>
    <col min="3586" max="3586" width="17.109375" style="23" customWidth="1"/>
    <col min="3587" max="3841" width="9.109375" style="23"/>
    <col min="3842" max="3842" width="17.109375" style="23" customWidth="1"/>
    <col min="3843" max="4097" width="9.109375" style="23"/>
    <col min="4098" max="4098" width="17.109375" style="23" customWidth="1"/>
    <col min="4099" max="4353" width="9.109375" style="23"/>
    <col min="4354" max="4354" width="17.109375" style="23" customWidth="1"/>
    <col min="4355" max="4609" width="9.109375" style="23"/>
    <col min="4610" max="4610" width="17.109375" style="23" customWidth="1"/>
    <col min="4611" max="4865" width="9.109375" style="23"/>
    <col min="4866" max="4866" width="17.109375" style="23" customWidth="1"/>
    <col min="4867" max="5121" width="9.109375" style="23"/>
    <col min="5122" max="5122" width="17.109375" style="23" customWidth="1"/>
    <col min="5123" max="5377" width="9.109375" style="23"/>
    <col min="5378" max="5378" width="17.109375" style="23" customWidth="1"/>
    <col min="5379" max="5633" width="9.109375" style="23"/>
    <col min="5634" max="5634" width="17.109375" style="23" customWidth="1"/>
    <col min="5635" max="5889" width="9.109375" style="23"/>
    <col min="5890" max="5890" width="17.109375" style="23" customWidth="1"/>
    <col min="5891" max="6145" width="9.109375" style="23"/>
    <col min="6146" max="6146" width="17.109375" style="23" customWidth="1"/>
    <col min="6147" max="6401" width="9.109375" style="23"/>
    <col min="6402" max="6402" width="17.109375" style="23" customWidth="1"/>
    <col min="6403" max="6657" width="9.109375" style="23"/>
    <col min="6658" max="6658" width="17.109375" style="23" customWidth="1"/>
    <col min="6659" max="6913" width="9.109375" style="23"/>
    <col min="6914" max="6914" width="17.109375" style="23" customWidth="1"/>
    <col min="6915" max="7169" width="9.109375" style="23"/>
    <col min="7170" max="7170" width="17.109375" style="23" customWidth="1"/>
    <col min="7171" max="7425" width="9.109375" style="23"/>
    <col min="7426" max="7426" width="17.109375" style="23" customWidth="1"/>
    <col min="7427" max="7681" width="9.109375" style="23"/>
    <col min="7682" max="7682" width="17.109375" style="23" customWidth="1"/>
    <col min="7683" max="7937" width="9.109375" style="23"/>
    <col min="7938" max="7938" width="17.109375" style="23" customWidth="1"/>
    <col min="7939" max="8193" width="9.109375" style="23"/>
    <col min="8194" max="8194" width="17.109375" style="23" customWidth="1"/>
    <col min="8195" max="8449" width="9.109375" style="23"/>
    <col min="8450" max="8450" width="17.109375" style="23" customWidth="1"/>
    <col min="8451" max="8705" width="9.109375" style="23"/>
    <col min="8706" max="8706" width="17.109375" style="23" customWidth="1"/>
    <col min="8707" max="8961" width="9.109375" style="23"/>
    <col min="8962" max="8962" width="17.109375" style="23" customWidth="1"/>
    <col min="8963" max="9217" width="9.109375" style="23"/>
    <col min="9218" max="9218" width="17.109375" style="23" customWidth="1"/>
    <col min="9219" max="9473" width="9.109375" style="23"/>
    <col min="9474" max="9474" width="17.109375" style="23" customWidth="1"/>
    <col min="9475" max="9729" width="9.109375" style="23"/>
    <col min="9730" max="9730" width="17.109375" style="23" customWidth="1"/>
    <col min="9731" max="9985" width="9.109375" style="23"/>
    <col min="9986" max="9986" width="17.109375" style="23" customWidth="1"/>
    <col min="9987" max="10241" width="9.109375" style="23"/>
    <col min="10242" max="10242" width="17.109375" style="23" customWidth="1"/>
    <col min="10243" max="10497" width="9.109375" style="23"/>
    <col min="10498" max="10498" width="17.109375" style="23" customWidth="1"/>
    <col min="10499" max="10753" width="9.109375" style="23"/>
    <col min="10754" max="10754" width="17.109375" style="23" customWidth="1"/>
    <col min="10755" max="11009" width="9.109375" style="23"/>
    <col min="11010" max="11010" width="17.109375" style="23" customWidth="1"/>
    <col min="11011" max="11265" width="9.109375" style="23"/>
    <col min="11266" max="11266" width="17.109375" style="23" customWidth="1"/>
    <col min="11267" max="11521" width="9.109375" style="23"/>
    <col min="11522" max="11522" width="17.109375" style="23" customWidth="1"/>
    <col min="11523" max="11777" width="9.109375" style="23"/>
    <col min="11778" max="11778" width="17.109375" style="23" customWidth="1"/>
    <col min="11779" max="12033" width="9.109375" style="23"/>
    <col min="12034" max="12034" width="17.109375" style="23" customWidth="1"/>
    <col min="12035" max="12289" width="9.109375" style="23"/>
    <col min="12290" max="12290" width="17.109375" style="23" customWidth="1"/>
    <col min="12291" max="12545" width="9.109375" style="23"/>
    <col min="12546" max="12546" width="17.109375" style="23" customWidth="1"/>
    <col min="12547" max="12801" width="9.109375" style="23"/>
    <col min="12802" max="12802" width="17.109375" style="23" customWidth="1"/>
    <col min="12803" max="13057" width="9.109375" style="23"/>
    <col min="13058" max="13058" width="17.109375" style="23" customWidth="1"/>
    <col min="13059" max="13313" width="9.109375" style="23"/>
    <col min="13314" max="13314" width="17.109375" style="23" customWidth="1"/>
    <col min="13315" max="13569" width="9.109375" style="23"/>
    <col min="13570" max="13570" width="17.109375" style="23" customWidth="1"/>
    <col min="13571" max="13825" width="9.109375" style="23"/>
    <col min="13826" max="13826" width="17.109375" style="23" customWidth="1"/>
    <col min="13827" max="14081" width="9.109375" style="23"/>
    <col min="14082" max="14082" width="17.109375" style="23" customWidth="1"/>
    <col min="14083" max="14337" width="9.109375" style="23"/>
    <col min="14338" max="14338" width="17.109375" style="23" customWidth="1"/>
    <col min="14339" max="14593" width="9.109375" style="23"/>
    <col min="14594" max="14594" width="17.109375" style="23" customWidth="1"/>
    <col min="14595" max="14849" width="9.109375" style="23"/>
    <col min="14850" max="14850" width="17.109375" style="23" customWidth="1"/>
    <col min="14851" max="15105" width="9.109375" style="23"/>
    <col min="15106" max="15106" width="17.109375" style="23" customWidth="1"/>
    <col min="15107" max="15361" width="9.109375" style="23"/>
    <col min="15362" max="15362" width="17.109375" style="23" customWidth="1"/>
    <col min="15363" max="15617" width="9.109375" style="23"/>
    <col min="15618" max="15618" width="17.109375" style="23" customWidth="1"/>
    <col min="15619" max="15873" width="9.109375" style="23"/>
    <col min="15874" max="15874" width="17.109375" style="23" customWidth="1"/>
    <col min="15875" max="16129" width="9.109375" style="23"/>
    <col min="16130" max="16130" width="17.109375" style="23" customWidth="1"/>
    <col min="16131" max="16384" width="9.109375" style="23"/>
  </cols>
  <sheetData>
    <row r="1" spans="1:41" ht="55.5" customHeight="1" x14ac:dyDescent="0.3"/>
    <row r="2" spans="1:41" x14ac:dyDescent="0.3">
      <c r="A2" s="23" t="s">
        <v>43</v>
      </c>
      <c r="C2" s="25">
        <v>6.3E-2</v>
      </c>
    </row>
    <row r="4" spans="1:41" x14ac:dyDescent="0.3">
      <c r="A4" s="23" t="s">
        <v>44</v>
      </c>
      <c r="B4" s="23" t="s">
        <v>45</v>
      </c>
      <c r="C4" s="23">
        <v>1992</v>
      </c>
      <c r="E4" s="23">
        <v>1994</v>
      </c>
      <c r="G4" s="23">
        <v>1996</v>
      </c>
      <c r="I4" s="23">
        <v>1998</v>
      </c>
      <c r="K4" s="23">
        <v>2000</v>
      </c>
      <c r="M4" s="23">
        <v>2002</v>
      </c>
      <c r="O4" s="23">
        <v>2004</v>
      </c>
      <c r="Q4" s="23">
        <v>2006</v>
      </c>
      <c r="S4" s="23">
        <v>2008</v>
      </c>
      <c r="U4" s="23">
        <v>2010</v>
      </c>
      <c r="W4" s="23">
        <v>2012</v>
      </c>
      <c r="Y4" s="23">
        <v>2014</v>
      </c>
      <c r="AA4" s="23">
        <v>2016</v>
      </c>
      <c r="AC4" s="23">
        <v>2018</v>
      </c>
      <c r="AE4" s="23">
        <v>2020</v>
      </c>
      <c r="AG4" s="23">
        <v>2022</v>
      </c>
      <c r="AI4" s="23">
        <v>2024</v>
      </c>
      <c r="AK4" s="23">
        <v>2026</v>
      </c>
      <c r="AM4" s="23">
        <v>2028</v>
      </c>
      <c r="AO4" s="23">
        <v>2030</v>
      </c>
    </row>
    <row r="5" spans="1:41" x14ac:dyDescent="0.3">
      <c r="A5" s="23" t="s">
        <v>46</v>
      </c>
      <c r="C5" s="23">
        <v>105500</v>
      </c>
      <c r="D5" s="23">
        <f>C5*(1+$C$2)</f>
        <v>112146.5</v>
      </c>
      <c r="E5" s="23">
        <f t="shared" ref="E5:AM5" si="0">D5*(1+$C$2)</f>
        <v>119211.72949999999</v>
      </c>
      <c r="F5" s="23">
        <f t="shared" si="0"/>
        <v>126722.06845849998</v>
      </c>
      <c r="G5" s="23">
        <f t="shared" si="0"/>
        <v>134705.55877138546</v>
      </c>
      <c r="H5" s="23">
        <f t="shared" si="0"/>
        <v>143192.00897398274</v>
      </c>
      <c r="I5" s="23">
        <f t="shared" si="0"/>
        <v>152213.10553934364</v>
      </c>
      <c r="J5" s="23">
        <f t="shared" si="0"/>
        <v>161802.53118832229</v>
      </c>
      <c r="K5" s="23">
        <f t="shared" si="0"/>
        <v>171996.09065318658</v>
      </c>
      <c r="L5" s="23">
        <f t="shared" si="0"/>
        <v>182831.84436433733</v>
      </c>
      <c r="M5" s="23">
        <f t="shared" si="0"/>
        <v>194350.25055929058</v>
      </c>
      <c r="N5" s="23">
        <f t="shared" si="0"/>
        <v>206594.31634452587</v>
      </c>
      <c r="O5" s="23">
        <f t="shared" si="0"/>
        <v>219609.75827423099</v>
      </c>
      <c r="P5" s="23">
        <f t="shared" si="0"/>
        <v>233445.17304550752</v>
      </c>
      <c r="Q5" s="23">
        <f t="shared" si="0"/>
        <v>248152.21894737447</v>
      </c>
      <c r="R5" s="23">
        <f t="shared" si="0"/>
        <v>263785.80874105904</v>
      </c>
      <c r="S5" s="23">
        <f t="shared" si="0"/>
        <v>280404.31469174573</v>
      </c>
      <c r="T5" s="23">
        <f t="shared" si="0"/>
        <v>298069.78651732567</v>
      </c>
      <c r="U5" s="23">
        <f t="shared" si="0"/>
        <v>316848.18306791718</v>
      </c>
      <c r="V5" s="23">
        <f t="shared" si="0"/>
        <v>336809.61860119592</v>
      </c>
      <c r="W5" s="23">
        <f t="shared" si="0"/>
        <v>358028.62457307125</v>
      </c>
      <c r="X5" s="23">
        <f t="shared" si="0"/>
        <v>380584.42792117473</v>
      </c>
      <c r="Y5" s="23">
        <f t="shared" si="0"/>
        <v>404561.24688020872</v>
      </c>
      <c r="Z5" s="23">
        <f t="shared" si="0"/>
        <v>430048.60543366184</v>
      </c>
      <c r="AA5" s="23">
        <f t="shared" si="0"/>
        <v>457141.66757598252</v>
      </c>
      <c r="AB5" s="23">
        <f t="shared" si="0"/>
        <v>485941.59263326938</v>
      </c>
      <c r="AC5" s="23">
        <f t="shared" si="0"/>
        <v>516555.91296916531</v>
      </c>
      <c r="AD5" s="23">
        <f t="shared" si="0"/>
        <v>549098.93548622273</v>
      </c>
      <c r="AE5" s="23">
        <f t="shared" si="0"/>
        <v>583692.16842185473</v>
      </c>
      <c r="AF5" s="23">
        <f t="shared" si="0"/>
        <v>620464.77503243159</v>
      </c>
      <c r="AG5" s="23">
        <f t="shared" si="0"/>
        <v>659554.0558594747</v>
      </c>
      <c r="AH5" s="23">
        <f t="shared" si="0"/>
        <v>701105.96137862152</v>
      </c>
      <c r="AI5" s="23">
        <f t="shared" si="0"/>
        <v>745275.63694547466</v>
      </c>
      <c r="AJ5" s="23">
        <f t="shared" si="0"/>
        <v>792228.00207303953</v>
      </c>
      <c r="AK5" s="23">
        <f t="shared" si="0"/>
        <v>842138.36620364094</v>
      </c>
      <c r="AL5" s="23">
        <f t="shared" si="0"/>
        <v>895193.08327447029</v>
      </c>
      <c r="AM5" s="23">
        <f t="shared" si="0"/>
        <v>951590.24752076191</v>
      </c>
      <c r="AN5" s="23">
        <f t="shared" ref="AN5" si="1">AM5*(1+$C$2)</f>
        <v>1011540.4331145699</v>
      </c>
      <c r="AO5" s="23">
        <f t="shared" ref="AO5" si="2">AN5*(1+$C$2)</f>
        <v>1075267.4804007877</v>
      </c>
    </row>
    <row r="6" spans="1:41" x14ac:dyDescent="0.3">
      <c r="A6" s="89" t="s">
        <v>61</v>
      </c>
      <c r="C6" s="23">
        <v>105500</v>
      </c>
      <c r="D6" s="23">
        <v>115000</v>
      </c>
      <c r="E6" s="23">
        <v>122000</v>
      </c>
      <c r="F6" s="23">
        <v>130000</v>
      </c>
      <c r="G6" s="23">
        <v>147000</v>
      </c>
      <c r="H6" s="23">
        <v>160000</v>
      </c>
      <c r="I6" s="23">
        <v>163000</v>
      </c>
      <c r="J6" s="23">
        <v>165000</v>
      </c>
      <c r="K6" s="23">
        <v>170000</v>
      </c>
      <c r="L6" s="23">
        <v>175000</v>
      </c>
      <c r="M6" s="23">
        <v>175000</v>
      </c>
      <c r="N6" s="23">
        <v>193100</v>
      </c>
      <c r="O6" s="23">
        <v>229000</v>
      </c>
      <c r="P6" s="23">
        <v>265000</v>
      </c>
      <c r="Q6" s="23">
        <v>300000</v>
      </c>
      <c r="R6" s="23">
        <v>327000</v>
      </c>
      <c r="S6" s="23">
        <v>340000</v>
      </c>
      <c r="T6" s="23">
        <v>325000</v>
      </c>
      <c r="U6" s="23">
        <v>350000</v>
      </c>
      <c r="V6" s="23">
        <v>340000</v>
      </c>
      <c r="W6" s="23">
        <v>355000</v>
      </c>
      <c r="X6" s="23">
        <v>370000</v>
      </c>
      <c r="Y6" s="23">
        <v>425000</v>
      </c>
      <c r="Z6" s="23">
        <v>426000</v>
      </c>
      <c r="AA6" s="23">
        <v>448000</v>
      </c>
      <c r="AB6" s="23">
        <v>490000</v>
      </c>
      <c r="AC6" s="23">
        <v>520000</v>
      </c>
      <c r="AD6" s="23">
        <v>550000</v>
      </c>
      <c r="AE6" s="23">
        <v>615000</v>
      </c>
      <c r="AF6" s="23">
        <v>730300</v>
      </c>
    </row>
    <row r="7" spans="1:41" x14ac:dyDescent="0.3">
      <c r="A7" s="23" t="s">
        <v>47</v>
      </c>
      <c r="C7" s="23">
        <v>113000</v>
      </c>
      <c r="D7" s="23">
        <v>112500</v>
      </c>
      <c r="E7" s="23">
        <v>123000</v>
      </c>
      <c r="F7" s="23">
        <v>128250</v>
      </c>
      <c r="G7" s="23">
        <v>145000</v>
      </c>
      <c r="H7" s="23">
        <v>151000</v>
      </c>
      <c r="I7" s="23">
        <v>165000</v>
      </c>
      <c r="J7" s="23">
        <v>164000</v>
      </c>
      <c r="K7" s="23">
        <v>166500</v>
      </c>
      <c r="L7" s="23">
        <v>156000</v>
      </c>
      <c r="M7" s="23">
        <v>154000</v>
      </c>
      <c r="N7" s="23">
        <v>165250</v>
      </c>
      <c r="O7" s="23">
        <v>189000</v>
      </c>
      <c r="P7" s="23">
        <v>244000</v>
      </c>
      <c r="Q7" s="23">
        <v>285000</v>
      </c>
      <c r="R7" s="23">
        <v>315000</v>
      </c>
      <c r="S7" s="23">
        <v>325000</v>
      </c>
      <c r="T7" s="23">
        <v>290000</v>
      </c>
      <c r="U7" s="23">
        <v>319540</v>
      </c>
      <c r="V7" s="23">
        <v>329000</v>
      </c>
      <c r="W7" s="23">
        <v>315000</v>
      </c>
      <c r="X7" s="23">
        <v>320000</v>
      </c>
      <c r="Y7" s="23">
        <v>350000</v>
      </c>
      <c r="Z7" s="23">
        <v>355000</v>
      </c>
      <c r="AA7" s="23">
        <v>388000</v>
      </c>
      <c r="AB7" s="23">
        <v>495000</v>
      </c>
      <c r="AC7" s="23">
        <v>505000</v>
      </c>
      <c r="AD7" s="23">
        <v>579000</v>
      </c>
      <c r="AE7" s="23">
        <v>619000</v>
      </c>
      <c r="AF7" s="23">
        <v>695000</v>
      </c>
    </row>
    <row r="8" spans="1:41" x14ac:dyDescent="0.3">
      <c r="A8" s="176" t="s">
        <v>141</v>
      </c>
      <c r="AE8" s="23">
        <f>AE7</f>
        <v>619000</v>
      </c>
      <c r="AF8" s="23">
        <f>AE8*(1+AF10)</f>
        <v>619000</v>
      </c>
      <c r="AG8" s="23">
        <f t="shared" ref="AG8:AM8" si="3">AF8*(1+AG10)</f>
        <v>619000</v>
      </c>
      <c r="AH8" s="23">
        <f t="shared" si="3"/>
        <v>634475</v>
      </c>
      <c r="AI8" s="23">
        <f t="shared" si="3"/>
        <v>666198.75</v>
      </c>
      <c r="AJ8" s="23">
        <f t="shared" si="3"/>
        <v>712832.66250000009</v>
      </c>
      <c r="AK8" s="23">
        <f t="shared" si="3"/>
        <v>776987.60212500021</v>
      </c>
      <c r="AL8" s="23">
        <f t="shared" si="3"/>
        <v>862456.23835875036</v>
      </c>
      <c r="AM8" s="23">
        <f t="shared" si="3"/>
        <v>991824.67411256279</v>
      </c>
    </row>
    <row r="9" spans="1:41" x14ac:dyDescent="0.3">
      <c r="A9" s="23" t="s">
        <v>48</v>
      </c>
    </row>
    <row r="10" spans="1:41" x14ac:dyDescent="0.3">
      <c r="Z10" s="23" t="s">
        <v>49</v>
      </c>
      <c r="AB10" s="24"/>
      <c r="AC10" s="24"/>
      <c r="AD10" s="24">
        <f>'Data to enter'!E4</f>
        <v>0</v>
      </c>
      <c r="AE10" s="24">
        <f>'Data to enter'!F4</f>
        <v>0</v>
      </c>
      <c r="AF10" s="24">
        <f>'Data to enter'!G4</f>
        <v>0</v>
      </c>
      <c r="AG10" s="24">
        <f>'Data to enter'!H4</f>
        <v>0</v>
      </c>
      <c r="AH10" s="24">
        <f>'Data to enter'!I4</f>
        <v>2.5000000000000001E-2</v>
      </c>
      <c r="AI10" s="24">
        <f>'Data to enter'!J4</f>
        <v>0.05</v>
      </c>
      <c r="AJ10" s="24">
        <f>'Data to enter'!K4</f>
        <v>7.0000000000000007E-2</v>
      </c>
      <c r="AK10" s="24">
        <f>'Data to enter'!L4</f>
        <v>0.09</v>
      </c>
      <c r="AL10" s="24">
        <f>'Data to enter'!M4</f>
        <v>0.11</v>
      </c>
      <c r="AM10" s="24">
        <f>'Data to enter'!N4</f>
        <v>0.15</v>
      </c>
    </row>
  </sheetData>
  <sheetProtection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2F04-318F-4357-92F0-CE2BAA50FD03}">
  <sheetPr codeName="Sheet3"/>
  <dimension ref="A1:T27"/>
  <sheetViews>
    <sheetView workbookViewId="0">
      <selection activeCell="E15" sqref="E15"/>
    </sheetView>
  </sheetViews>
  <sheetFormatPr defaultRowHeight="13.2" x14ac:dyDescent="0.25"/>
  <cols>
    <col min="1" max="1" width="30.109375" customWidth="1"/>
    <col min="2" max="3" width="17.109375" customWidth="1"/>
    <col min="4" max="5" width="18.88671875" customWidth="1"/>
    <col min="6" max="6" width="19.109375" customWidth="1"/>
    <col min="7" max="7" width="15.109375" customWidth="1"/>
  </cols>
  <sheetData>
    <row r="1" spans="1:20" ht="55.5" customHeight="1" x14ac:dyDescent="0.25">
      <c r="A1" s="190"/>
      <c r="B1" s="190"/>
      <c r="C1" s="190"/>
      <c r="D1" s="190"/>
      <c r="E1" s="190"/>
      <c r="F1" s="190"/>
      <c r="G1" s="190"/>
      <c r="H1" s="190"/>
      <c r="I1" s="190"/>
      <c r="J1" s="121"/>
      <c r="K1" s="121"/>
      <c r="L1" s="121"/>
      <c r="M1" s="121"/>
      <c r="N1" s="121"/>
      <c r="O1" s="121"/>
      <c r="P1" s="121"/>
      <c r="Q1" s="121"/>
    </row>
    <row r="2" spans="1:20" x14ac:dyDescent="0.25">
      <c r="B2" s="121" t="str">
        <f>'p1 one year'!F2</f>
        <v>almost brand new - 2 bedroom in Chch, Feb 2021</v>
      </c>
      <c r="C2" s="121"/>
      <c r="D2" s="121" t="str">
        <f>'p2 one year'!F2</f>
        <v>Slightly old Hamilton 3bedroom new build , March 2021</v>
      </c>
      <c r="E2" s="121"/>
      <c r="F2" s="121" t="str">
        <f>'p3 one year'!F2</f>
        <v>Two bedroom if renovated (p1 one year renovated)</v>
      </c>
      <c r="G2" s="121" t="str">
        <f>'p4 one year repeat p2'!F2</f>
        <v>Slightly old Hamilton 3bedroom new build , March 2021</v>
      </c>
      <c r="H2" s="121"/>
      <c r="I2" s="121"/>
      <c r="J2" s="121"/>
      <c r="K2" s="121"/>
      <c r="L2" s="121" t="s">
        <v>89</v>
      </c>
      <c r="M2" s="121"/>
      <c r="N2" s="121" t="s">
        <v>100</v>
      </c>
      <c r="O2" s="121" t="s">
        <v>101</v>
      </c>
      <c r="P2" s="121" t="s">
        <v>102</v>
      </c>
      <c r="Q2" s="121"/>
    </row>
    <row r="3" spans="1:20" x14ac:dyDescent="0.25">
      <c r="A3" s="28"/>
      <c r="B3" s="122" t="s">
        <v>63</v>
      </c>
      <c r="C3" s="186" t="s">
        <v>148</v>
      </c>
      <c r="D3" s="122" t="s">
        <v>64</v>
      </c>
      <c r="E3" s="186" t="s">
        <v>149</v>
      </c>
      <c r="F3" s="122" t="s">
        <v>65</v>
      </c>
      <c r="G3" s="122" t="s">
        <v>111</v>
      </c>
      <c r="H3" s="123"/>
      <c r="I3" s="123"/>
      <c r="J3" s="122" t="s">
        <v>89</v>
      </c>
      <c r="K3" s="123"/>
      <c r="L3" s="123" t="s">
        <v>98</v>
      </c>
      <c r="M3" s="123"/>
      <c r="N3" s="123" t="s">
        <v>99</v>
      </c>
      <c r="O3" s="123" t="s">
        <v>103</v>
      </c>
      <c r="P3" s="123" t="s">
        <v>104</v>
      </c>
      <c r="Q3" s="123"/>
    </row>
    <row r="4" spans="1:20" x14ac:dyDescent="0.25">
      <c r="C4" s="187"/>
      <c r="E4" s="187"/>
    </row>
    <row r="5" spans="1:20" x14ac:dyDescent="0.25">
      <c r="A5" s="90" t="s">
        <v>71</v>
      </c>
      <c r="B5">
        <f>'p1 one year'!D6</f>
        <v>500000</v>
      </c>
      <c r="C5" s="187"/>
      <c r="D5">
        <f>'p2 one year'!D6</f>
        <v>780000</v>
      </c>
      <c r="E5" s="187"/>
      <c r="F5">
        <f>'p3 one year'!D6</f>
        <v>366000</v>
      </c>
      <c r="G5">
        <f>'p4 one year repeat p2'!D6</f>
        <v>780000</v>
      </c>
      <c r="N5">
        <f>'p5a one year'!D6</f>
        <v>600000</v>
      </c>
      <c r="O5">
        <f>'p5b one year'!D6+'p5b one year'!D7</f>
        <v>350000</v>
      </c>
      <c r="P5" s="124">
        <f>'p5c one year'!D6</f>
        <v>1100000</v>
      </c>
    </row>
    <row r="6" spans="1:20" x14ac:dyDescent="0.25">
      <c r="A6" s="90"/>
      <c r="C6" s="187"/>
      <c r="E6" s="187"/>
      <c r="P6" s="121"/>
    </row>
    <row r="7" spans="1:20" x14ac:dyDescent="0.25">
      <c r="A7" s="90" t="s">
        <v>72</v>
      </c>
      <c r="B7">
        <f>'p1 one year'!E10</f>
        <v>0</v>
      </c>
      <c r="C7" s="187"/>
      <c r="D7">
        <f>'p2 one year'!E10</f>
        <v>0</v>
      </c>
      <c r="E7" s="187"/>
      <c r="F7">
        <f>'p3 one year'!E10</f>
        <v>0</v>
      </c>
      <c r="G7">
        <f>'p4 one year repeat p2'!E10</f>
        <v>200000</v>
      </c>
      <c r="N7">
        <f>'p5a one year'!E10</f>
        <v>0</v>
      </c>
      <c r="O7">
        <f>'p5b one year'!E11</f>
        <v>0</v>
      </c>
      <c r="P7" s="121">
        <f>'p5c one year'!E11</f>
        <v>150000</v>
      </c>
      <c r="Q7" s="90" t="s">
        <v>108</v>
      </c>
    </row>
    <row r="8" spans="1:20" x14ac:dyDescent="0.25">
      <c r="C8" s="187"/>
      <c r="E8" s="187"/>
      <c r="P8" s="121"/>
    </row>
    <row r="9" spans="1:20" x14ac:dyDescent="0.25">
      <c r="A9" s="90" t="s">
        <v>70</v>
      </c>
      <c r="B9" s="91">
        <f>'p1 one year'!G18</f>
        <v>4.63488195581832E-2</v>
      </c>
      <c r="C9" s="188"/>
      <c r="D9" s="91">
        <f>'p2 one year'!G18</f>
        <v>3.8609247785344872E-2</v>
      </c>
      <c r="E9" s="188"/>
      <c r="F9" s="91">
        <f>'p3 one year'!G18</f>
        <v>6.6564985292515519E-2</v>
      </c>
      <c r="G9" s="91">
        <f>'p4 one year repeat p2'!G18</f>
        <v>3.8609247785344872E-2</v>
      </c>
      <c r="N9" s="91">
        <f>'p5a one year'!G18</f>
        <v>4.3945039590125759E-2</v>
      </c>
      <c r="O9" s="91">
        <f>'p5b one year'!G19</f>
        <v>8.1831187410586551E-2</v>
      </c>
      <c r="P9" s="127">
        <f>'p5c one year'!G19</f>
        <v>4.9986371813275671E-2</v>
      </c>
    </row>
    <row r="10" spans="1:20" x14ac:dyDescent="0.25">
      <c r="C10" s="187"/>
      <c r="E10" s="187"/>
      <c r="P10" s="121"/>
    </row>
    <row r="11" spans="1:20" x14ac:dyDescent="0.25">
      <c r="A11" t="s">
        <v>62</v>
      </c>
      <c r="B11" s="86">
        <f>'p1 one year'!H36</f>
        <v>-139.97400000000198</v>
      </c>
      <c r="C11" s="189">
        <f>B11</f>
        <v>-139.97400000000198</v>
      </c>
      <c r="D11" s="86">
        <f>'p2 one year'!H36</f>
        <v>2215.7160000000003</v>
      </c>
      <c r="E11" s="189">
        <f>'p2 one year'!H36</f>
        <v>2215.7160000000003</v>
      </c>
      <c r="F11" s="86">
        <f>'p3 one year'!H36</f>
        <v>6702.5560000000005</v>
      </c>
      <c r="G11" s="86">
        <f>'p4 one year repeat p2'!H36</f>
        <v>6795.7160000000003</v>
      </c>
      <c r="J11" s="124">
        <f>B11+D11+F11+G11</f>
        <v>15574.013999999999</v>
      </c>
      <c r="K11" s="121"/>
      <c r="L11" s="124">
        <f>B11+D11+F11</f>
        <v>8778.2979999999989</v>
      </c>
      <c r="N11" s="86">
        <f>'p5a one year'!H36</f>
        <v>1189.9800000000032</v>
      </c>
      <c r="O11" s="86">
        <f>'p5b one year'!H37</f>
        <v>14084.25</v>
      </c>
      <c r="P11" s="124">
        <f>'p5c one year'!H37</f>
        <v>15274.229999999996</v>
      </c>
      <c r="Q11" s="86"/>
      <c r="R11" s="86"/>
      <c r="S11" s="86"/>
      <c r="T11" s="86"/>
    </row>
    <row r="12" spans="1:20" x14ac:dyDescent="0.25">
      <c r="B12" s="86"/>
      <c r="C12" s="189"/>
      <c r="D12" s="86"/>
      <c r="E12" s="189"/>
      <c r="F12" s="86"/>
      <c r="G12" s="86"/>
      <c r="J12" s="121"/>
      <c r="K12" s="121"/>
      <c r="L12" s="121"/>
      <c r="N12" s="86"/>
      <c r="O12" s="86"/>
      <c r="P12" s="124"/>
      <c r="Q12" s="86"/>
      <c r="R12" s="86"/>
      <c r="S12" s="86"/>
      <c r="T12" s="86"/>
    </row>
    <row r="13" spans="1:20" x14ac:dyDescent="0.25">
      <c r="A13" t="s">
        <v>90</v>
      </c>
      <c r="B13" s="86">
        <f>'p1 one year'!H44</f>
        <v>0</v>
      </c>
      <c r="C13" s="189">
        <f>'p1 one year'!N44</f>
        <v>-2077.4922329999999</v>
      </c>
      <c r="D13" s="86">
        <f>'p2 one year'!H44</f>
        <v>0</v>
      </c>
      <c r="E13" s="189">
        <f>'p2 one year'!O44</f>
        <v>-4632.5507660000003</v>
      </c>
      <c r="F13" s="86">
        <f>'p3 one year'!H44</f>
        <v>-1051.8795182000003</v>
      </c>
      <c r="G13" s="86">
        <f>'p4 one year repeat p2'!H44</f>
        <v>-261.35292020000009</v>
      </c>
      <c r="J13" s="121"/>
      <c r="K13" s="121"/>
      <c r="L13" s="121"/>
      <c r="N13" s="86">
        <f>'p5a one year'!H44</f>
        <v>0</v>
      </c>
      <c r="O13" s="86">
        <f>'p5b one year'!H45</f>
        <v>-3147.9469124999996</v>
      </c>
      <c r="P13" s="124">
        <f>'p5c one year'!H45</f>
        <v>-2881.895843499999</v>
      </c>
      <c r="Q13" s="86"/>
      <c r="R13" s="86"/>
      <c r="S13" s="86"/>
      <c r="T13" s="86"/>
    </row>
    <row r="14" spans="1:20" x14ac:dyDescent="0.25">
      <c r="B14" s="86"/>
      <c r="C14" s="189"/>
      <c r="D14" s="86"/>
      <c r="E14" s="189"/>
      <c r="F14" s="86"/>
      <c r="G14" s="86"/>
      <c r="J14" s="121"/>
      <c r="K14" s="121"/>
      <c r="L14" s="121"/>
      <c r="N14" s="86"/>
      <c r="O14" s="86"/>
      <c r="P14" s="124"/>
      <c r="Q14" s="86"/>
      <c r="R14" s="86"/>
      <c r="S14" s="86"/>
      <c r="T14" s="86"/>
    </row>
    <row r="15" spans="1:20" x14ac:dyDescent="0.25">
      <c r="A15" t="s">
        <v>69</v>
      </c>
      <c r="B15" s="86">
        <f>'p1 one year'!H48</f>
        <v>-139.97400000000198</v>
      </c>
      <c r="C15" s="189">
        <f>'p1 one year'!N48</f>
        <v>-2217.4662330000019</v>
      </c>
      <c r="D15" s="86">
        <f>'p2 one year'!H48</f>
        <v>2215.7160000000003</v>
      </c>
      <c r="E15" s="189">
        <f>'p2 one year'!O48</f>
        <v>-2416.8347659999999</v>
      </c>
      <c r="F15" s="86">
        <f>'p3 one year'!H48</f>
        <v>5650.6764818000001</v>
      </c>
      <c r="G15" s="86">
        <f>'p4 one year repeat p2'!H48</f>
        <v>6534.3630798000004</v>
      </c>
      <c r="J15" s="124">
        <f>B15+D15+F15+G15</f>
        <v>14260.781561599999</v>
      </c>
      <c r="K15" s="121"/>
      <c r="L15" s="124">
        <f>B15+D15+F15</f>
        <v>7726.4184817999985</v>
      </c>
      <c r="N15" s="86">
        <f>'p5a one year'!H48</f>
        <v>1189.9800000000032</v>
      </c>
      <c r="O15" s="86">
        <f>'p5b one year'!H49</f>
        <v>10936.3030875</v>
      </c>
      <c r="P15" s="124">
        <f>'p5c one year'!H49</f>
        <v>12392.334156499997</v>
      </c>
      <c r="Q15" s="86"/>
      <c r="R15" s="86"/>
      <c r="S15" s="86"/>
      <c r="T15" s="86"/>
    </row>
    <row r="16" spans="1:20" x14ac:dyDescent="0.25">
      <c r="A16" s="90" t="s">
        <v>26</v>
      </c>
      <c r="B16" s="86">
        <f>B15/52</f>
        <v>-2.6918076923077305</v>
      </c>
      <c r="C16" s="189">
        <f>'p1 one year'!N50</f>
        <v>-42.643581403846191</v>
      </c>
      <c r="D16" s="86">
        <f t="shared" ref="D16:G16" si="0">D15/52</f>
        <v>42.609923076923081</v>
      </c>
      <c r="E16" s="189">
        <f>'p2 one year'!O50</f>
        <v>-46.477591653846154</v>
      </c>
      <c r="F16" s="86">
        <f t="shared" si="0"/>
        <v>108.66685541923077</v>
      </c>
      <c r="G16" s="86">
        <f t="shared" si="0"/>
        <v>125.66082845769232</v>
      </c>
      <c r="J16" s="124">
        <f>B16+D16+F16+G16</f>
        <v>274.24579926153842</v>
      </c>
      <c r="K16" s="121"/>
      <c r="L16" s="124">
        <f>B16+D16+F16</f>
        <v>148.58497080384612</v>
      </c>
      <c r="N16" s="86">
        <f>N15/52</f>
        <v>22.884230769230832</v>
      </c>
      <c r="O16" s="86">
        <f>O15/52</f>
        <v>210.31352091346156</v>
      </c>
      <c r="P16" s="124">
        <f>P15/52</f>
        <v>238.31411839423072</v>
      </c>
      <c r="Q16" s="86"/>
      <c r="R16" s="86"/>
      <c r="S16" s="86"/>
      <c r="T16" s="86"/>
    </row>
    <row r="17" spans="1:20" x14ac:dyDescent="0.25">
      <c r="B17" s="86"/>
      <c r="C17" s="189"/>
      <c r="D17" s="86"/>
      <c r="E17" s="189"/>
      <c r="F17" s="86"/>
      <c r="G17" s="86"/>
      <c r="J17" s="121"/>
      <c r="K17" s="121"/>
      <c r="L17" s="121"/>
      <c r="N17" s="86"/>
      <c r="O17" s="86"/>
      <c r="P17" s="124"/>
      <c r="Q17" s="86"/>
      <c r="R17" s="86"/>
      <c r="S17" s="86"/>
      <c r="T17" s="86"/>
    </row>
    <row r="18" spans="1:20" x14ac:dyDescent="0.25">
      <c r="A18" t="s">
        <v>66</v>
      </c>
      <c r="B18" s="86">
        <f>'p1 10 year'!P52</f>
        <v>-36989.873854490346</v>
      </c>
      <c r="C18" s="189">
        <f>'no interest p1 10 year'!P54</f>
        <v>-62142.82791329232</v>
      </c>
      <c r="D18" s="86">
        <f>'p2 10 year'!P52</f>
        <v>-29809.472435985248</v>
      </c>
      <c r="E18" s="189">
        <f>'no interest p2 10 year'!P54</f>
        <v>-77228.509214707723</v>
      </c>
      <c r="F18" s="86">
        <f>'p3 10 year'!P52</f>
        <v>38512.831098100825</v>
      </c>
      <c r="G18" s="86">
        <f>'p4 10 year'!P52</f>
        <v>31765.698525062271</v>
      </c>
      <c r="J18" s="124">
        <f>B18+D18+F18+G18</f>
        <v>3479.1833326874948</v>
      </c>
      <c r="K18" s="121"/>
      <c r="L18" s="124">
        <f>B18+D18+F18</f>
        <v>-28286.515192374776</v>
      </c>
      <c r="N18" s="86">
        <f>'p5a 10 year'!P52</f>
        <v>-28846.496667298281</v>
      </c>
      <c r="O18" s="86">
        <f>'p5b 10 year'!P52</f>
        <v>97419.321718997977</v>
      </c>
      <c r="P18" s="124">
        <f>'p5c 10 year'!P52</f>
        <v>80527.087490823164</v>
      </c>
      <c r="Q18" s="86"/>
      <c r="R18" s="86"/>
      <c r="S18" s="86"/>
      <c r="T18" s="86"/>
    </row>
    <row r="19" spans="1:20" x14ac:dyDescent="0.25">
      <c r="B19" s="86"/>
      <c r="C19" s="189"/>
      <c r="D19" s="86"/>
      <c r="E19" s="189"/>
      <c r="F19" s="86"/>
      <c r="G19" s="86"/>
      <c r="J19" s="124"/>
      <c r="K19" s="121"/>
      <c r="L19" s="121"/>
      <c r="N19" s="86"/>
      <c r="O19" s="86"/>
      <c r="P19" s="124"/>
      <c r="Q19" s="86"/>
      <c r="R19" s="86"/>
      <c r="S19" s="86"/>
      <c r="T19" s="86"/>
    </row>
    <row r="20" spans="1:20" x14ac:dyDescent="0.25">
      <c r="A20" t="s">
        <v>67</v>
      </c>
      <c r="B20" s="86">
        <f>'p1 10 year'!R51</f>
        <v>380605.86552812497</v>
      </c>
      <c r="C20" s="189">
        <f>B20</f>
        <v>380605.86552812497</v>
      </c>
      <c r="D20" s="86">
        <f>'p2 10 year'!R51</f>
        <v>593614.75022387481</v>
      </c>
      <c r="E20" s="189">
        <f>D20</f>
        <v>593614.75022387481</v>
      </c>
      <c r="F20" s="86">
        <f>'p3 10 year'!R51</f>
        <v>277926.61356658768</v>
      </c>
      <c r="G20" s="86">
        <f>'p4 10 year'!R51</f>
        <v>593614.75022387481</v>
      </c>
      <c r="J20" s="124">
        <f t="shared" ref="J20:J22" si="1">B20+D20+F20+G20</f>
        <v>1845761.9795424624</v>
      </c>
      <c r="K20" s="121"/>
      <c r="L20" s="124">
        <f>B20+D20+F20</f>
        <v>1252147.2293185876</v>
      </c>
      <c r="N20" s="86">
        <f>'p5a 10 year'!R51</f>
        <v>456359.03863375029</v>
      </c>
      <c r="O20" s="86">
        <f>'p5b 10 year'!R51</f>
        <v>267386.10586968751</v>
      </c>
      <c r="P20" s="124">
        <f>'p5c 10 year'!R51</f>
        <v>838124.90416187514</v>
      </c>
      <c r="Q20" s="86"/>
      <c r="R20" s="86"/>
      <c r="S20" s="86"/>
      <c r="T20" s="86"/>
    </row>
    <row r="21" spans="1:20" x14ac:dyDescent="0.25">
      <c r="B21" s="86"/>
      <c r="C21" s="189"/>
      <c r="D21" s="86"/>
      <c r="E21" s="189"/>
      <c r="F21" s="86"/>
      <c r="G21" s="86"/>
      <c r="J21" s="124"/>
      <c r="K21" s="121"/>
      <c r="L21" s="121"/>
      <c r="N21" s="86"/>
      <c r="O21" s="86"/>
      <c r="P21" s="124"/>
      <c r="Q21" s="86"/>
      <c r="R21" s="86"/>
      <c r="S21" s="86"/>
      <c r="T21" s="86"/>
    </row>
    <row r="22" spans="1:20" x14ac:dyDescent="0.25">
      <c r="A22" t="s">
        <v>68</v>
      </c>
      <c r="B22" s="86">
        <f>'p1 10 year'!P51</f>
        <v>380605.86552812497</v>
      </c>
      <c r="C22" s="189">
        <f>'no interest p1 10 year'!P53+'no interest p1 10 year'!P54</f>
        <v>318463.03761483263</v>
      </c>
      <c r="D22" s="86">
        <f>'p2 10 year'!P51</f>
        <v>593614.75022387481</v>
      </c>
      <c r="E22" s="189">
        <f>'no interest p2 10 year'!P53+'no interest p2 10 year'!P54</f>
        <v>516386.2410091671</v>
      </c>
      <c r="F22" s="86">
        <f>'p3 10 year'!P51</f>
        <v>277926.61356658768</v>
      </c>
      <c r="G22" s="86">
        <f>'p4 10 year'!P51</f>
        <v>793614.75022387481</v>
      </c>
      <c r="J22" s="124">
        <f t="shared" si="1"/>
        <v>2045761.9795424624</v>
      </c>
      <c r="K22" s="121"/>
      <c r="L22" s="124">
        <f>B22+D22+F22</f>
        <v>1252147.2293185876</v>
      </c>
      <c r="N22" s="86">
        <f>'p5a 10 year'!P51</f>
        <v>456359.03863375029</v>
      </c>
      <c r="O22" s="86">
        <f>'p5b 10 year'!P51</f>
        <v>267386.10586968751</v>
      </c>
      <c r="P22" s="124">
        <f>'p5c 10 year'!P51</f>
        <v>988124.90416187514</v>
      </c>
      <c r="Q22" s="86"/>
      <c r="R22" s="86"/>
      <c r="S22" s="86"/>
      <c r="T22" s="86"/>
    </row>
    <row r="23" spans="1:20" x14ac:dyDescent="0.25">
      <c r="J23" s="121"/>
      <c r="K23" s="121"/>
      <c r="L23" s="121"/>
      <c r="N23" s="86"/>
      <c r="O23" s="86"/>
      <c r="P23" s="86"/>
      <c r="Q23" s="86"/>
      <c r="R23" s="86"/>
      <c r="S23" s="86"/>
      <c r="T23" s="86"/>
    </row>
    <row r="26" spans="1:20" x14ac:dyDescent="0.25">
      <c r="A26" s="90" t="s">
        <v>73</v>
      </c>
    </row>
    <row r="27" spans="1:20" x14ac:dyDescent="0.25">
      <c r="A27" s="90" t="s">
        <v>97</v>
      </c>
    </row>
  </sheetData>
  <sheetProtection selectLockedCells="1" selectUnlockedCells="1"/>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98"/>
  <sheetViews>
    <sheetView tabSelected="1" zoomScale="120" zoomScaleNormal="120" workbookViewId="0">
      <selection activeCell="H39" sqref="H39"/>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1" width="9.109375" style="54"/>
    <col min="12" max="12" width="12.33203125" style="54" customWidth="1"/>
    <col min="13" max="16384" width="9.109375" style="54"/>
  </cols>
  <sheetData>
    <row r="1" spans="1:14" ht="72.75" customHeight="1" x14ac:dyDescent="0.25">
      <c r="A1" s="190"/>
      <c r="B1" s="190"/>
      <c r="C1" s="190"/>
      <c r="D1" s="190"/>
      <c r="E1" s="190"/>
      <c r="F1" s="190"/>
      <c r="G1" s="190"/>
    </row>
    <row r="2" spans="1:14" ht="22.8" x14ac:dyDescent="0.4">
      <c r="B2" s="55" t="s">
        <v>24</v>
      </c>
      <c r="F2" s="192" t="s">
        <v>150</v>
      </c>
      <c r="G2" s="193"/>
      <c r="H2" s="193"/>
      <c r="I2" s="193"/>
      <c r="J2" s="193"/>
    </row>
    <row r="3" spans="1:14" ht="15.6" x14ac:dyDescent="0.3">
      <c r="J3" s="107" t="s">
        <v>96</v>
      </c>
      <c r="M3" s="107" t="s">
        <v>145</v>
      </c>
    </row>
    <row r="4" spans="1:14" x14ac:dyDescent="0.25">
      <c r="A4" s="56"/>
      <c r="B4" s="56"/>
      <c r="C4" s="56"/>
      <c r="D4" s="56"/>
      <c r="E4" s="56"/>
      <c r="F4" s="56"/>
      <c r="G4" s="56"/>
      <c r="H4" s="56"/>
      <c r="I4" s="56"/>
    </row>
    <row r="5" spans="1:14" ht="1.5" customHeight="1" x14ac:dyDescent="0.25">
      <c r="A5" s="56"/>
      <c r="B5" s="57"/>
      <c r="C5" s="56"/>
      <c r="D5" s="58"/>
      <c r="E5" s="56"/>
      <c r="F5" s="56"/>
      <c r="G5" s="56"/>
      <c r="H5" s="56"/>
      <c r="I5" s="56"/>
    </row>
    <row r="6" spans="1:14" ht="15.6" x14ac:dyDescent="0.3">
      <c r="A6" s="57"/>
      <c r="B6" s="57" t="s">
        <v>21</v>
      </c>
      <c r="C6" s="57"/>
      <c r="D6" s="45">
        <v>500000</v>
      </c>
      <c r="E6" s="58"/>
      <c r="F6" s="57"/>
      <c r="G6" s="57"/>
      <c r="H6" s="57"/>
      <c r="I6" s="57"/>
      <c r="J6" s="106">
        <f>'p1 10 year'!P6</f>
        <v>881265.86552812497</v>
      </c>
    </row>
    <row r="7" spans="1:14" ht="15" x14ac:dyDescent="0.25">
      <c r="A7" s="57"/>
      <c r="B7" s="57" t="s">
        <v>92</v>
      </c>
      <c r="C7" s="57"/>
      <c r="D7" s="45">
        <f>1500+160+500+500</f>
        <v>2660</v>
      </c>
      <c r="E7" s="58"/>
      <c r="F7" s="57"/>
      <c r="G7" s="57"/>
      <c r="H7" s="57"/>
      <c r="I7" s="57"/>
    </row>
    <row r="8" spans="1:14" ht="15" x14ac:dyDescent="0.25">
      <c r="A8" s="57"/>
      <c r="B8" s="57" t="s">
        <v>93</v>
      </c>
      <c r="C8" s="57"/>
      <c r="D8" s="45">
        <v>2000</v>
      </c>
      <c r="E8" s="58"/>
      <c r="F8" s="57"/>
      <c r="G8" s="57"/>
      <c r="H8" s="57"/>
      <c r="I8" s="57"/>
    </row>
    <row r="9" spans="1:14" ht="15" x14ac:dyDescent="0.25">
      <c r="A9" s="57"/>
      <c r="B9" s="57"/>
      <c r="C9" s="57"/>
      <c r="D9" s="58"/>
      <c r="E9" s="59">
        <f>D6+D7-D8</f>
        <v>500660</v>
      </c>
      <c r="F9" s="57"/>
      <c r="G9" s="57"/>
      <c r="H9" s="57"/>
      <c r="I9" s="57"/>
    </row>
    <row r="10" spans="1:14" ht="15" x14ac:dyDescent="0.25">
      <c r="A10" s="57"/>
      <c r="B10" s="57" t="s">
        <v>94</v>
      </c>
      <c r="C10" s="57"/>
      <c r="D10" s="58"/>
      <c r="E10" s="45"/>
      <c r="F10" s="57"/>
      <c r="G10" s="57"/>
      <c r="I10" s="168" t="s">
        <v>123</v>
      </c>
      <c r="J10" s="167"/>
    </row>
    <row r="11" spans="1:14" ht="15" x14ac:dyDescent="0.25">
      <c r="A11" s="57"/>
      <c r="B11" s="57"/>
      <c r="C11" s="57"/>
      <c r="D11" s="58"/>
      <c r="E11" s="58"/>
      <c r="F11" s="57"/>
      <c r="G11" s="57"/>
      <c r="H11" s="57"/>
      <c r="I11" s="57"/>
    </row>
    <row r="12" spans="1:14" ht="15" x14ac:dyDescent="0.25">
      <c r="A12" s="57"/>
      <c r="B12" s="60" t="s">
        <v>9</v>
      </c>
      <c r="C12" s="57"/>
      <c r="D12" s="58"/>
      <c r="E12" s="59">
        <f>E9-E10</f>
        <v>500660</v>
      </c>
      <c r="F12" s="57"/>
      <c r="G12" s="57"/>
      <c r="H12" s="57"/>
      <c r="I12" s="57"/>
    </row>
    <row r="13" spans="1:14" ht="8.25" customHeight="1" x14ac:dyDescent="0.25">
      <c r="A13" s="57"/>
      <c r="B13" s="57"/>
      <c r="C13" s="57"/>
      <c r="D13" s="58"/>
      <c r="E13" s="58"/>
      <c r="F13" s="57"/>
      <c r="G13" s="57"/>
      <c r="H13" s="57"/>
      <c r="I13" s="57"/>
    </row>
    <row r="14" spans="1:14" ht="17.399999999999999" x14ac:dyDescent="0.3">
      <c r="A14" s="57"/>
      <c r="B14" s="61" t="s">
        <v>0</v>
      </c>
      <c r="C14" s="57"/>
      <c r="D14" s="57"/>
      <c r="E14" s="57"/>
      <c r="F14" s="57"/>
      <c r="G14" s="57"/>
      <c r="H14" s="57"/>
      <c r="I14" s="57"/>
    </row>
    <row r="15" spans="1:14" ht="8.25" customHeight="1" x14ac:dyDescent="0.25">
      <c r="A15" s="57"/>
      <c r="B15" s="57"/>
      <c r="C15" s="57"/>
      <c r="D15" s="57"/>
      <c r="E15" s="57"/>
      <c r="F15" s="57"/>
      <c r="G15" s="57"/>
      <c r="H15" s="57"/>
      <c r="I15" s="57"/>
    </row>
    <row r="16" spans="1:14" ht="15.6" x14ac:dyDescent="0.3">
      <c r="A16" s="57"/>
      <c r="B16" s="57" t="s">
        <v>27</v>
      </c>
      <c r="C16" s="57" t="s">
        <v>25</v>
      </c>
      <c r="D16" s="46">
        <v>51</v>
      </c>
      <c r="E16" s="57"/>
      <c r="F16" s="57"/>
      <c r="G16" s="57"/>
      <c r="H16" s="108">
        <f>D16*D17</f>
        <v>23205</v>
      </c>
      <c r="I16" s="57"/>
      <c r="J16" s="106">
        <f>'p1 10 year'!P14</f>
        <v>30277.261730757626</v>
      </c>
      <c r="M16" s="160"/>
      <c r="N16" s="162">
        <f>H16</f>
        <v>23205</v>
      </c>
    </row>
    <row r="17" spans="1:14" ht="15" x14ac:dyDescent="0.25">
      <c r="A17" s="57"/>
      <c r="B17" s="57"/>
      <c r="C17" s="57" t="s">
        <v>26</v>
      </c>
      <c r="D17" s="110">
        <v>455</v>
      </c>
      <c r="E17" s="57"/>
      <c r="F17" s="57"/>
      <c r="G17" s="57"/>
      <c r="H17" s="57"/>
      <c r="I17" s="57"/>
      <c r="M17" s="160"/>
      <c r="N17" s="160"/>
    </row>
    <row r="18" spans="1:14" ht="15" x14ac:dyDescent="0.25">
      <c r="A18" s="57"/>
      <c r="B18" s="57"/>
      <c r="C18" s="57"/>
      <c r="D18" s="57" t="s">
        <v>11</v>
      </c>
      <c r="E18" s="57"/>
      <c r="F18" s="57"/>
      <c r="G18" s="62">
        <f>H16/E9</f>
        <v>4.63488195581832E-2</v>
      </c>
      <c r="H18" s="63"/>
      <c r="I18" s="57"/>
      <c r="M18" s="160"/>
      <c r="N18" s="160"/>
    </row>
    <row r="19" spans="1:14" ht="6.75" customHeight="1" x14ac:dyDescent="0.25">
      <c r="A19" s="57"/>
      <c r="B19" s="57"/>
      <c r="C19" s="57"/>
      <c r="D19" s="57"/>
      <c r="E19" s="57"/>
      <c r="F19" s="57"/>
      <c r="G19" s="57"/>
      <c r="H19" s="57"/>
      <c r="I19" s="57"/>
      <c r="M19" s="160"/>
      <c r="N19" s="160"/>
    </row>
    <row r="20" spans="1:14" ht="24" customHeight="1" x14ac:dyDescent="0.3">
      <c r="A20" s="57"/>
      <c r="B20" s="64" t="s">
        <v>1</v>
      </c>
      <c r="C20" s="65"/>
      <c r="D20" s="57"/>
      <c r="E20" s="57"/>
      <c r="F20" s="57"/>
      <c r="G20" s="57"/>
      <c r="H20" s="57"/>
      <c r="I20" s="57"/>
      <c r="M20" s="160"/>
      <c r="N20" s="160"/>
    </row>
    <row r="21" spans="1:14" ht="15" x14ac:dyDescent="0.25">
      <c r="A21" s="57"/>
      <c r="B21" s="57"/>
      <c r="C21" s="57"/>
      <c r="D21" s="57"/>
      <c r="E21" s="57"/>
      <c r="F21" s="57"/>
      <c r="G21" s="57"/>
      <c r="H21" s="57"/>
      <c r="I21" s="57"/>
      <c r="M21" s="160"/>
      <c r="N21" s="160"/>
    </row>
    <row r="22" spans="1:14" ht="15" x14ac:dyDescent="0.25">
      <c r="A22" s="57"/>
      <c r="B22" s="57" t="s">
        <v>7</v>
      </c>
      <c r="C22" s="57"/>
      <c r="D22" s="57"/>
      <c r="E22" s="57"/>
      <c r="F22" s="57"/>
      <c r="G22" s="110">
        <v>1700</v>
      </c>
      <c r="H22" s="111"/>
      <c r="I22" s="57"/>
      <c r="M22" s="162">
        <f>G22</f>
        <v>1700</v>
      </c>
      <c r="N22" s="160"/>
    </row>
    <row r="23" spans="1:14" ht="15" x14ac:dyDescent="0.25">
      <c r="A23" s="57"/>
      <c r="B23" s="57" t="s">
        <v>8</v>
      </c>
      <c r="C23" s="57"/>
      <c r="D23" s="57"/>
      <c r="E23" s="57"/>
      <c r="F23" s="57"/>
      <c r="G23" s="110">
        <v>50</v>
      </c>
      <c r="H23" s="111"/>
      <c r="I23" s="57"/>
      <c r="M23" s="162">
        <f t="shared" ref="M23:M32" si="0">G23</f>
        <v>50</v>
      </c>
      <c r="N23" s="160"/>
    </row>
    <row r="24" spans="1:14" ht="15" x14ac:dyDescent="0.25">
      <c r="A24" s="57"/>
      <c r="B24" s="57" t="s">
        <v>14</v>
      </c>
      <c r="C24" s="57"/>
      <c r="D24" s="57"/>
      <c r="E24" s="57"/>
      <c r="F24" s="57"/>
      <c r="G24" s="110">
        <v>1000</v>
      </c>
      <c r="H24" s="111"/>
      <c r="I24" s="57"/>
      <c r="M24" s="162">
        <f t="shared" si="0"/>
        <v>1000</v>
      </c>
      <c r="N24" s="160"/>
    </row>
    <row r="25" spans="1:14" ht="15" x14ac:dyDescent="0.25">
      <c r="A25" s="57"/>
      <c r="B25" s="57" t="s">
        <v>2</v>
      </c>
      <c r="C25" s="57"/>
      <c r="D25" s="57"/>
      <c r="E25" s="57"/>
      <c r="F25" s="57"/>
      <c r="G25" s="110">
        <v>2250</v>
      </c>
      <c r="H25" s="111"/>
      <c r="I25" s="57"/>
      <c r="M25" s="162">
        <f t="shared" si="0"/>
        <v>2250</v>
      </c>
      <c r="N25" s="160"/>
    </row>
    <row r="26" spans="1:14" ht="15.6" x14ac:dyDescent="0.3">
      <c r="A26" s="57"/>
      <c r="B26" s="57" t="s">
        <v>28</v>
      </c>
      <c r="C26" s="57"/>
      <c r="D26" s="57" t="s">
        <v>29</v>
      </c>
      <c r="E26" s="47">
        <v>2.29E-2</v>
      </c>
      <c r="F26" s="57"/>
      <c r="G26" s="66">
        <f>E12*E26</f>
        <v>11465.114</v>
      </c>
      <c r="H26" s="111"/>
      <c r="I26" s="98"/>
      <c r="J26" s="106">
        <f>'p1 10 year'!P24</f>
        <v>20652.225000000002</v>
      </c>
      <c r="M26" s="162">
        <v>0</v>
      </c>
      <c r="N26" s="160"/>
    </row>
    <row r="27" spans="1:14" ht="15" x14ac:dyDescent="0.25">
      <c r="A27" s="57"/>
      <c r="B27" s="57" t="s">
        <v>120</v>
      </c>
      <c r="C27" s="57"/>
      <c r="D27" s="57"/>
      <c r="E27" s="57"/>
      <c r="F27" s="57"/>
      <c r="G27" s="85">
        <f>(H16*'Data to enter'!C13+300)*1.15</f>
        <v>2479.86</v>
      </c>
      <c r="H27" s="111"/>
      <c r="I27" s="57"/>
      <c r="M27" s="162">
        <f t="shared" si="0"/>
        <v>2479.86</v>
      </c>
      <c r="N27" s="160"/>
    </row>
    <row r="28" spans="1:14" ht="15" x14ac:dyDescent="0.25">
      <c r="A28" s="57"/>
      <c r="B28" s="57" t="s">
        <v>3</v>
      </c>
      <c r="C28" s="57"/>
      <c r="D28" s="57"/>
      <c r="E28" s="57"/>
      <c r="F28" s="57"/>
      <c r="G28" s="110">
        <v>3000</v>
      </c>
      <c r="H28" s="111"/>
      <c r="I28" s="57"/>
      <c r="M28" s="162">
        <f t="shared" si="0"/>
        <v>3000</v>
      </c>
      <c r="N28" s="160"/>
    </row>
    <row r="29" spans="1:14" ht="15" x14ac:dyDescent="0.25">
      <c r="A29" s="57"/>
      <c r="B29" s="57" t="s">
        <v>6</v>
      </c>
      <c r="C29" s="57"/>
      <c r="D29" s="57"/>
      <c r="E29" s="57"/>
      <c r="F29" s="57"/>
      <c r="G29" s="110">
        <v>500</v>
      </c>
      <c r="H29" s="111"/>
      <c r="I29" s="57"/>
      <c r="M29" s="162">
        <f t="shared" si="0"/>
        <v>500</v>
      </c>
      <c r="N29" s="160"/>
    </row>
    <row r="30" spans="1:14" ht="15" x14ac:dyDescent="0.25">
      <c r="A30" s="57"/>
      <c r="B30" s="57" t="s">
        <v>22</v>
      </c>
      <c r="C30" s="57"/>
      <c r="D30" s="57"/>
      <c r="E30" s="57"/>
      <c r="F30" s="57"/>
      <c r="G30" s="110">
        <v>100</v>
      </c>
      <c r="H30" s="111"/>
      <c r="I30" s="57"/>
      <c r="M30" s="162">
        <f t="shared" si="0"/>
        <v>100</v>
      </c>
      <c r="N30" s="160"/>
    </row>
    <row r="31" spans="1:14" ht="15" x14ac:dyDescent="0.25">
      <c r="A31" s="57"/>
      <c r="B31" s="57" t="s">
        <v>23</v>
      </c>
      <c r="C31" s="57"/>
      <c r="D31" s="57"/>
      <c r="E31" s="57"/>
      <c r="F31" s="57"/>
      <c r="G31" s="110">
        <v>300</v>
      </c>
      <c r="H31" s="111"/>
      <c r="I31" s="57"/>
      <c r="J31" s="67"/>
      <c r="M31" s="162">
        <f t="shared" si="0"/>
        <v>300</v>
      </c>
      <c r="N31" s="160"/>
    </row>
    <row r="32" spans="1:14" ht="15" x14ac:dyDescent="0.25">
      <c r="A32" s="57"/>
      <c r="B32" s="57" t="s">
        <v>5</v>
      </c>
      <c r="C32" s="57"/>
      <c r="D32" s="57"/>
      <c r="E32" s="57"/>
      <c r="F32" s="57"/>
      <c r="G32" s="112">
        <v>500</v>
      </c>
      <c r="H32" s="111"/>
      <c r="I32" s="57"/>
      <c r="M32" s="181">
        <f t="shared" si="0"/>
        <v>500</v>
      </c>
      <c r="N32" s="160"/>
    </row>
    <row r="33" spans="1:17" ht="15" x14ac:dyDescent="0.25">
      <c r="A33" s="57"/>
      <c r="B33" s="57"/>
      <c r="C33" s="57"/>
      <c r="D33" s="57"/>
      <c r="E33" s="57"/>
      <c r="F33" s="57"/>
      <c r="G33" s="111"/>
      <c r="H33" s="111"/>
      <c r="I33" s="57"/>
    </row>
    <row r="34" spans="1:17" ht="18" thickBot="1" x14ac:dyDescent="0.35">
      <c r="A34" s="57"/>
      <c r="B34" s="64" t="s">
        <v>4</v>
      </c>
      <c r="C34" s="64"/>
      <c r="D34" s="57"/>
      <c r="E34" s="57"/>
      <c r="F34" s="57"/>
      <c r="G34" s="111"/>
      <c r="H34" s="113">
        <f>SUM(G22:G32)</f>
        <v>23344.974000000002</v>
      </c>
      <c r="I34" s="57"/>
      <c r="J34" s="106">
        <f>'p1 10 year'!P32</f>
        <v>36152.747755645687</v>
      </c>
      <c r="N34" s="182">
        <f>SUM(M22:M32)</f>
        <v>11879.86</v>
      </c>
    </row>
    <row r="35" spans="1:17" ht="15" x14ac:dyDescent="0.25">
      <c r="A35" s="57"/>
      <c r="B35" s="57"/>
      <c r="C35" s="57"/>
      <c r="D35" s="57"/>
      <c r="E35" s="57"/>
      <c r="F35" s="57"/>
      <c r="G35" s="111"/>
      <c r="H35" s="111"/>
      <c r="I35" s="57"/>
      <c r="J35" s="95"/>
    </row>
    <row r="36" spans="1:17" ht="15.6" x14ac:dyDescent="0.3">
      <c r="A36" s="57"/>
      <c r="B36" s="68" t="s">
        <v>10</v>
      </c>
      <c r="C36" s="68"/>
      <c r="D36" s="68"/>
      <c r="E36" s="57"/>
      <c r="F36" s="57"/>
      <c r="G36" s="111"/>
      <c r="H36" s="66">
        <f>H16-H34</f>
        <v>-139.97400000000198</v>
      </c>
      <c r="I36" s="57"/>
      <c r="J36" s="106">
        <f>J16-J34</f>
        <v>-5875.4860248880614</v>
      </c>
      <c r="N36" s="106">
        <f>N16-N34</f>
        <v>11325.14</v>
      </c>
    </row>
    <row r="37" spans="1:17" ht="15" x14ac:dyDescent="0.25">
      <c r="A37" s="57"/>
      <c r="B37" s="57"/>
      <c r="C37" s="57"/>
      <c r="D37" s="57"/>
      <c r="E37" s="57"/>
      <c r="F37" s="57"/>
      <c r="G37" s="111"/>
      <c r="H37" s="111"/>
      <c r="I37" s="57"/>
      <c r="J37" s="95"/>
      <c r="N37" s="160"/>
    </row>
    <row r="38" spans="1:17" ht="15" x14ac:dyDescent="0.25">
      <c r="A38" s="57"/>
      <c r="B38" s="60" t="s">
        <v>12</v>
      </c>
      <c r="C38" s="60"/>
      <c r="D38" s="57"/>
      <c r="E38" s="57" t="s">
        <v>15</v>
      </c>
      <c r="F38" s="57"/>
      <c r="G38" s="111"/>
      <c r="H38" s="66">
        <v>0</v>
      </c>
      <c r="I38" s="57"/>
      <c r="J38" s="95"/>
      <c r="N38" s="160"/>
    </row>
    <row r="39" spans="1:17" ht="15.6" x14ac:dyDescent="0.3">
      <c r="A39" s="57"/>
      <c r="B39" s="57"/>
      <c r="C39" s="57"/>
      <c r="D39" s="57"/>
      <c r="E39" s="57" t="s">
        <v>16</v>
      </c>
      <c r="F39" s="57"/>
      <c r="G39" s="111"/>
      <c r="H39" s="110">
        <v>5000</v>
      </c>
      <c r="I39" s="57"/>
      <c r="J39" s="106">
        <f>'p1 10 year'!P37</f>
        <v>375.42343139648438</v>
      </c>
      <c r="N39" s="162">
        <f>H39</f>
        <v>5000</v>
      </c>
      <c r="Q39" s="168" t="s">
        <v>124</v>
      </c>
    </row>
    <row r="40" spans="1:17" ht="15" x14ac:dyDescent="0.25">
      <c r="A40" s="57"/>
      <c r="B40" s="57"/>
      <c r="C40" s="57"/>
      <c r="D40" s="57"/>
      <c r="E40" s="57"/>
      <c r="F40" s="57"/>
      <c r="G40" s="111"/>
      <c r="H40" s="111"/>
      <c r="I40" s="57"/>
      <c r="J40" s="95"/>
    </row>
    <row r="41" spans="1:17" ht="15" x14ac:dyDescent="0.25">
      <c r="A41" s="57"/>
      <c r="B41" s="57"/>
      <c r="C41" s="57"/>
      <c r="D41" s="57"/>
      <c r="E41" s="57"/>
      <c r="F41" s="57"/>
      <c r="G41" s="111"/>
      <c r="H41" s="111"/>
      <c r="I41" s="57"/>
      <c r="J41" s="95"/>
    </row>
    <row r="42" spans="1:17" ht="16.2" thickBot="1" x14ac:dyDescent="0.35">
      <c r="A42" s="57"/>
      <c r="B42" s="60" t="s">
        <v>13</v>
      </c>
      <c r="C42" s="60"/>
      <c r="D42" s="60"/>
      <c r="E42" s="60"/>
      <c r="F42" s="60"/>
      <c r="G42" s="66"/>
      <c r="H42" s="114">
        <f>H36-H38-H39-H40</f>
        <v>-5139.974000000002</v>
      </c>
      <c r="I42" s="57"/>
      <c r="J42" s="106">
        <f>J36-J39</f>
        <v>-6250.9094562845457</v>
      </c>
      <c r="N42" s="180">
        <f>N36-N39</f>
        <v>6325.1399999999994</v>
      </c>
    </row>
    <row r="43" spans="1:17" ht="15.6" thickTop="1" x14ac:dyDescent="0.25">
      <c r="A43" s="57"/>
      <c r="B43" s="60"/>
      <c r="C43" s="60"/>
      <c r="D43" s="60"/>
      <c r="E43" s="60"/>
      <c r="F43" s="60"/>
      <c r="G43" s="66"/>
      <c r="H43" s="66"/>
      <c r="I43" s="57"/>
      <c r="J43" s="95"/>
    </row>
    <row r="44" spans="1:17" ht="17.399999999999999" x14ac:dyDescent="0.3">
      <c r="A44" s="57"/>
      <c r="B44" s="70" t="s">
        <v>30</v>
      </c>
      <c r="C44" s="60"/>
      <c r="D44" s="60"/>
      <c r="E44" s="71"/>
      <c r="F44" s="60"/>
      <c r="G44" s="66"/>
      <c r="H44" s="66">
        <f>IF(H42&lt;0,0,-(H42*$G$45*$E$45)+-(H42*$G$46*$E$46))</f>
        <v>0</v>
      </c>
      <c r="I44" s="66"/>
      <c r="J44" s="66">
        <f t="shared" ref="J44" si="1">IF(J42&lt;0,0,-(J42*$G$45*$E$45)+-(J42*$G$46*$E$46))</f>
        <v>0</v>
      </c>
      <c r="L44" s="67" t="s">
        <v>86</v>
      </c>
      <c r="N44" s="66">
        <f>IF(N42&lt;0,0,-(N42*$G$45*$E$45)+-(N42*$G$46*$E$46))</f>
        <v>-2077.4922329999999</v>
      </c>
    </row>
    <row r="45" spans="1:17" ht="15" x14ac:dyDescent="0.25">
      <c r="A45" s="57"/>
      <c r="B45" s="60"/>
      <c r="C45" s="60" t="s">
        <v>32</v>
      </c>
      <c r="D45" s="60" t="s">
        <v>31</v>
      </c>
      <c r="E45" s="47">
        <v>0.33</v>
      </c>
      <c r="F45" s="60" t="s">
        <v>33</v>
      </c>
      <c r="G45" s="48">
        <v>0.99</v>
      </c>
      <c r="H45" s="69"/>
      <c r="I45" s="57"/>
      <c r="J45" s="95"/>
      <c r="L45" s="67" t="s">
        <v>87</v>
      </c>
    </row>
    <row r="46" spans="1:17" ht="15" x14ac:dyDescent="0.25">
      <c r="A46" s="57"/>
      <c r="B46" s="60"/>
      <c r="C46" s="60" t="s">
        <v>34</v>
      </c>
      <c r="D46" s="60"/>
      <c r="E46" s="47">
        <v>0.17499999999999999</v>
      </c>
      <c r="F46" s="60"/>
      <c r="G46" s="48">
        <v>0.01</v>
      </c>
      <c r="H46" s="69"/>
      <c r="I46" s="57"/>
      <c r="J46" s="95"/>
      <c r="L46" s="67" t="s">
        <v>85</v>
      </c>
    </row>
    <row r="47" spans="1:17" ht="15" x14ac:dyDescent="0.25">
      <c r="A47" s="57"/>
      <c r="B47" s="72"/>
      <c r="C47" s="72"/>
      <c r="D47" s="72"/>
      <c r="E47" s="72"/>
      <c r="F47" s="72"/>
      <c r="G47" s="72"/>
      <c r="H47" s="72"/>
      <c r="I47" s="72"/>
      <c r="J47" s="95"/>
    </row>
    <row r="48" spans="1:17" ht="18" thickBot="1" x14ac:dyDescent="0.35">
      <c r="A48" s="57"/>
      <c r="B48" s="60" t="s">
        <v>36</v>
      </c>
      <c r="C48" s="72"/>
      <c r="D48" s="72"/>
      <c r="E48" s="72"/>
      <c r="F48" s="72"/>
      <c r="G48" s="72"/>
      <c r="H48" s="73">
        <f>H36+H44</f>
        <v>-139.97400000000198</v>
      </c>
      <c r="I48" s="74"/>
      <c r="J48" s="109">
        <f>J36+J44</f>
        <v>-5875.4860248880614</v>
      </c>
      <c r="N48" s="180">
        <f>H36+N44</f>
        <v>-2217.4662330000019</v>
      </c>
    </row>
    <row r="49" spans="1:14" ht="15.6" thickTop="1" x14ac:dyDescent="0.25">
      <c r="A49" s="57"/>
      <c r="B49" s="57"/>
      <c r="C49" s="57"/>
      <c r="D49" s="57"/>
      <c r="E49" s="57"/>
      <c r="F49" s="57"/>
      <c r="G49" s="63"/>
      <c r="H49" s="57"/>
      <c r="I49" s="57"/>
    </row>
    <row r="50" spans="1:14" ht="15.6" x14ac:dyDescent="0.3">
      <c r="A50" s="57"/>
      <c r="B50" s="60" t="s">
        <v>17</v>
      </c>
      <c r="C50" s="57"/>
      <c r="D50" s="57"/>
      <c r="E50" s="57"/>
      <c r="F50" s="57"/>
      <c r="G50" s="63"/>
      <c r="H50" s="59">
        <f>H48/52</f>
        <v>-2.6918076923077305</v>
      </c>
      <c r="I50" s="58"/>
      <c r="J50" s="115">
        <f>J48/52</f>
        <v>-112.99011586323195</v>
      </c>
      <c r="N50" s="106">
        <f>N48/52</f>
        <v>-42.643581403846191</v>
      </c>
    </row>
    <row r="51" spans="1:14" ht="15" x14ac:dyDescent="0.25">
      <c r="A51" s="57"/>
      <c r="B51" s="57"/>
      <c r="C51" s="57"/>
      <c r="D51" s="57"/>
      <c r="E51" s="57"/>
      <c r="F51" s="57"/>
      <c r="G51" s="63"/>
      <c r="H51" s="75"/>
      <c r="I51" s="57"/>
    </row>
    <row r="52" spans="1:14" ht="15" x14ac:dyDescent="0.25">
      <c r="A52" s="57"/>
      <c r="B52" s="57" t="s">
        <v>19</v>
      </c>
      <c r="C52" s="57"/>
      <c r="D52" s="57"/>
      <c r="E52" s="57"/>
      <c r="F52" s="57"/>
      <c r="G52" s="62" t="e">
        <f>H48/E10</f>
        <v>#DIV/0!</v>
      </c>
      <c r="H52" s="69" t="s">
        <v>18</v>
      </c>
      <c r="I52" s="57"/>
    </row>
    <row r="53" spans="1:14" ht="15" x14ac:dyDescent="0.25">
      <c r="A53" s="57"/>
      <c r="B53" s="57"/>
      <c r="C53" s="57"/>
      <c r="D53" s="57"/>
      <c r="E53" s="63"/>
      <c r="F53" s="57"/>
      <c r="G53" s="76"/>
      <c r="H53" s="57"/>
      <c r="I53" s="57"/>
    </row>
    <row r="54" spans="1:14" ht="15" x14ac:dyDescent="0.25">
      <c r="A54" s="57"/>
      <c r="B54" s="57" t="s">
        <v>35</v>
      </c>
      <c r="C54" s="57"/>
      <c r="D54" s="57"/>
      <c r="E54" s="47">
        <v>0.03</v>
      </c>
      <c r="F54" s="57"/>
      <c r="G54" s="63"/>
      <c r="H54" s="69">
        <f>E9*E54</f>
        <v>15019.8</v>
      </c>
      <c r="I54" s="57"/>
    </row>
    <row r="55" spans="1:14" ht="15" x14ac:dyDescent="0.25">
      <c r="A55" s="57"/>
      <c r="B55" s="57"/>
      <c r="C55" s="57"/>
      <c r="D55" s="57"/>
      <c r="E55" s="57"/>
      <c r="F55" s="57"/>
      <c r="G55" s="63"/>
      <c r="H55" s="75"/>
      <c r="I55" s="57"/>
    </row>
    <row r="56" spans="1:14" ht="15" x14ac:dyDescent="0.25">
      <c r="A56" s="57"/>
      <c r="B56" s="72" t="s">
        <v>20</v>
      </c>
      <c r="C56" s="72"/>
      <c r="D56" s="72"/>
      <c r="E56" s="72"/>
      <c r="F56" s="57"/>
      <c r="G56" s="63" t="e">
        <f>(H48+H54)/E10</f>
        <v>#DIV/0!</v>
      </c>
      <c r="H56" s="75" t="s">
        <v>18</v>
      </c>
      <c r="I56" s="57"/>
    </row>
    <row r="57" spans="1:14" ht="14.25" customHeight="1" x14ac:dyDescent="0.25">
      <c r="A57" s="57"/>
      <c r="B57" s="57"/>
      <c r="C57" s="57"/>
      <c r="D57" s="57"/>
      <c r="E57" s="57"/>
      <c r="F57" s="57"/>
      <c r="G57" s="63"/>
      <c r="H57" s="75"/>
      <c r="I57" s="57"/>
    </row>
    <row r="58" spans="1:14" ht="15" hidden="1" x14ac:dyDescent="0.25">
      <c r="A58" s="57"/>
      <c r="B58" s="77"/>
      <c r="C58" s="77"/>
      <c r="D58" s="77"/>
      <c r="E58" s="77"/>
      <c r="F58" s="77"/>
      <c r="G58" s="78"/>
      <c r="H58" s="77"/>
      <c r="I58" s="77"/>
      <c r="J58" s="79"/>
    </row>
    <row r="59" spans="1:14" hidden="1" x14ac:dyDescent="0.25">
      <c r="B59" s="79"/>
      <c r="C59" s="79"/>
      <c r="D59" s="79"/>
      <c r="E59" s="79"/>
      <c r="F59" s="79"/>
      <c r="G59" s="79"/>
      <c r="H59" s="79"/>
      <c r="I59" s="79"/>
      <c r="J59" s="79"/>
    </row>
    <row r="60" spans="1:14" hidden="1" x14ac:dyDescent="0.25">
      <c r="A60" s="56"/>
      <c r="B60" s="80"/>
      <c r="C60" s="81"/>
      <c r="D60" s="80"/>
      <c r="E60" s="80"/>
      <c r="F60" s="80"/>
      <c r="G60" s="80"/>
      <c r="H60" s="80"/>
      <c r="I60" s="80"/>
      <c r="J60" s="79"/>
    </row>
    <row r="61" spans="1:14" hidden="1" x14ac:dyDescent="0.25">
      <c r="A61" s="56"/>
      <c r="B61" s="56"/>
      <c r="C61" s="56"/>
      <c r="D61" s="56"/>
      <c r="E61" s="56"/>
      <c r="F61" s="56"/>
      <c r="G61" s="56"/>
      <c r="H61" s="56"/>
      <c r="I61" s="56"/>
    </row>
    <row r="62" spans="1:14" ht="29.4" x14ac:dyDescent="0.45">
      <c r="A62" s="56"/>
      <c r="B62" s="191"/>
      <c r="C62" s="191"/>
      <c r="D62" s="191"/>
      <c r="E62" s="191"/>
      <c r="F62" s="191"/>
      <c r="G62" s="191"/>
      <c r="H62" s="191"/>
      <c r="I62" s="191"/>
    </row>
    <row r="63" spans="1:14" ht="29.4" x14ac:dyDescent="0.45">
      <c r="A63" s="56"/>
      <c r="B63" s="157" t="s">
        <v>115</v>
      </c>
      <c r="C63" s="129"/>
      <c r="D63" s="129"/>
      <c r="E63" s="129"/>
      <c r="F63" s="129"/>
      <c r="G63" s="129"/>
      <c r="H63" s="129"/>
      <c r="I63" s="129"/>
    </row>
    <row r="64" spans="1:14" ht="12.75" customHeight="1" x14ac:dyDescent="0.45">
      <c r="A64" s="56"/>
      <c r="B64" s="129"/>
      <c r="C64" s="129"/>
      <c r="D64" s="129"/>
      <c r="E64" s="129"/>
      <c r="F64" s="129"/>
      <c r="G64" s="129"/>
      <c r="H64" s="129"/>
      <c r="I64" s="129"/>
    </row>
    <row r="65" spans="1:20" x14ac:dyDescent="0.25">
      <c r="A65" s="56"/>
      <c r="B65" s="56"/>
      <c r="C65" s="56"/>
      <c r="D65" s="56"/>
      <c r="E65" s="56"/>
      <c r="F65" s="56"/>
      <c r="G65" s="56"/>
      <c r="H65" s="56"/>
      <c r="I65" s="56"/>
    </row>
    <row r="66" spans="1:20" ht="15.6" x14ac:dyDescent="0.3">
      <c r="A66" s="56"/>
      <c r="B66" s="156" t="s">
        <v>112</v>
      </c>
      <c r="C66" s="151"/>
      <c r="D66" s="151"/>
      <c r="E66" s="159">
        <f>((H34-G27)+(300*1.15))/D16/(1-'Data to enter'!C13*1.15)</f>
        <v>458.02267426794509</v>
      </c>
      <c r="F66" s="151"/>
      <c r="G66" s="151" t="s">
        <v>26</v>
      </c>
      <c r="H66" s="151"/>
      <c r="I66" s="151"/>
      <c r="J66" s="160"/>
      <c r="K66" s="160"/>
      <c r="L66" s="160"/>
      <c r="M66" s="160"/>
      <c r="N66" s="160"/>
      <c r="O66" s="160"/>
    </row>
    <row r="67" spans="1:20" ht="15.6" x14ac:dyDescent="0.3">
      <c r="A67" s="56"/>
      <c r="B67" s="156"/>
      <c r="C67" s="151"/>
      <c r="D67" s="151"/>
      <c r="E67" s="161"/>
      <c r="F67" s="151"/>
      <c r="G67" s="151"/>
      <c r="H67" s="151"/>
      <c r="I67" s="151"/>
      <c r="J67" s="160"/>
      <c r="K67" s="160"/>
      <c r="L67" s="160"/>
      <c r="M67" s="160"/>
      <c r="N67" s="165"/>
      <c r="O67" s="160"/>
      <c r="R67" s="160"/>
      <c r="S67" s="165"/>
      <c r="T67" s="160"/>
    </row>
    <row r="68" spans="1:20" ht="15.6" x14ac:dyDescent="0.3">
      <c r="A68" s="56"/>
      <c r="B68" s="156"/>
      <c r="C68" s="151"/>
      <c r="D68" s="151"/>
      <c r="E68" s="161" t="s">
        <v>121</v>
      </c>
      <c r="F68" s="151"/>
      <c r="G68" s="151"/>
      <c r="H68" s="151"/>
      <c r="I68" s="151"/>
      <c r="J68" s="160"/>
      <c r="K68" s="160"/>
      <c r="L68" s="160"/>
      <c r="M68" s="166" t="s">
        <v>121</v>
      </c>
      <c r="N68" s="165"/>
      <c r="O68" s="160"/>
      <c r="R68" s="160"/>
      <c r="S68" s="165"/>
      <c r="T68" s="160"/>
    </row>
    <row r="69" spans="1:20" ht="15.6" x14ac:dyDescent="0.3">
      <c r="A69" s="57"/>
      <c r="B69" s="57"/>
      <c r="C69" s="57"/>
      <c r="D69" s="57"/>
      <c r="E69" s="158" t="s">
        <v>117</v>
      </c>
      <c r="F69" s="57"/>
      <c r="G69" s="57"/>
      <c r="H69" s="57"/>
      <c r="I69" s="57"/>
      <c r="J69" s="107" t="s">
        <v>116</v>
      </c>
      <c r="K69" s="160"/>
      <c r="L69" s="160"/>
      <c r="M69" s="107" t="s">
        <v>118</v>
      </c>
      <c r="N69" s="160"/>
      <c r="O69" s="160"/>
    </row>
    <row r="70" spans="1:20" ht="15" x14ac:dyDescent="0.25">
      <c r="A70" s="57"/>
      <c r="B70" s="60" t="s">
        <v>113</v>
      </c>
      <c r="C70" s="57"/>
      <c r="D70" s="57"/>
      <c r="E70" s="111">
        <f>$H$36+$G$26-(J70*12)</f>
        <v>-11762.663307690289</v>
      </c>
      <c r="F70" s="57"/>
      <c r="G70" s="57">
        <v>30</v>
      </c>
      <c r="H70" s="57" t="s">
        <v>114</v>
      </c>
      <c r="I70" s="57"/>
      <c r="J70" s="162">
        <f>PMT($E$26/12,G70*12,$E$12)*-1</f>
        <v>1923.9836089741905</v>
      </c>
      <c r="K70" s="160"/>
      <c r="L70" s="160"/>
      <c r="M70" s="163"/>
      <c r="N70" s="163">
        <f>(($H$34-$G$26-$G$27+J70*12)+(300*1.15))/$D$16/(1-'Data to enter'!$C$13*1.15)</f>
        <v>709.00931389155846</v>
      </c>
      <c r="O70" s="160"/>
    </row>
    <row r="71" spans="1:20" ht="15" x14ac:dyDescent="0.25">
      <c r="A71" s="57"/>
      <c r="B71" s="60"/>
      <c r="C71" s="57"/>
      <c r="D71" s="57"/>
      <c r="E71" s="111">
        <f t="shared" ref="E71:E72" si="2">$H$36+$G$26-(J71*12)</f>
        <v>-14996.423292135509</v>
      </c>
      <c r="F71" s="57"/>
      <c r="G71" s="57">
        <v>25</v>
      </c>
      <c r="H71" s="57" t="s">
        <v>114</v>
      </c>
      <c r="I71" s="57"/>
      <c r="J71" s="162">
        <f t="shared" ref="J71:J72" si="3">PMT($E$26/12,G71*12,$E$12)*-1</f>
        <v>2193.4636076779589</v>
      </c>
      <c r="K71" s="160"/>
      <c r="L71" s="160"/>
      <c r="M71" s="163"/>
      <c r="N71" s="163">
        <f>(($H$34-$G$26-$G$27+J71*12)+(300*1.15))/$D$16/(1-'Data to enter'!$C$13*1.15)</f>
        <v>778.84087613663962</v>
      </c>
      <c r="O71" s="160"/>
    </row>
    <row r="72" spans="1:20" ht="15" x14ac:dyDescent="0.25">
      <c r="A72" s="57"/>
      <c r="B72" s="57"/>
      <c r="C72" s="57"/>
      <c r="D72" s="57"/>
      <c r="E72" s="111">
        <f t="shared" si="2"/>
        <v>-19899.945357043005</v>
      </c>
      <c r="F72" s="57"/>
      <c r="G72" s="57">
        <v>20</v>
      </c>
      <c r="H72" s="57" t="s">
        <v>114</v>
      </c>
      <c r="I72" s="57"/>
      <c r="J72" s="162">
        <f t="shared" si="3"/>
        <v>2602.0904464202504</v>
      </c>
      <c r="K72" s="160"/>
      <c r="L72" s="160"/>
      <c r="M72" s="163"/>
      <c r="N72" s="163">
        <f>(($H$34-$G$26-$G$27+J72*12)+(300*1.15))/$D$16/(1-'Data to enter'!$C$13*1.15)</f>
        <v>884.73018392163351</v>
      </c>
      <c r="O72" s="160"/>
    </row>
    <row r="73" spans="1:20" ht="15" x14ac:dyDescent="0.25">
      <c r="A73" s="57"/>
      <c r="B73" s="57"/>
      <c r="C73" s="57"/>
      <c r="D73" s="57"/>
      <c r="E73" s="57"/>
      <c r="F73" s="57"/>
      <c r="G73" s="57"/>
      <c r="H73" s="57"/>
      <c r="I73" s="57"/>
    </row>
    <row r="74" spans="1:20" ht="15" x14ac:dyDescent="0.25">
      <c r="A74" s="57"/>
      <c r="B74" s="57"/>
      <c r="C74" s="57"/>
      <c r="D74" s="57"/>
      <c r="E74" s="57"/>
      <c r="F74" s="57"/>
      <c r="G74" s="57"/>
      <c r="H74" s="57"/>
      <c r="I74" s="57"/>
    </row>
    <row r="75" spans="1:20" ht="15.6" x14ac:dyDescent="0.3">
      <c r="A75" s="56"/>
      <c r="B75" s="156"/>
      <c r="C75" s="151"/>
      <c r="D75" s="151"/>
      <c r="E75" s="161" t="s">
        <v>122</v>
      </c>
      <c r="F75" s="151"/>
      <c r="G75" s="151"/>
      <c r="H75" s="151"/>
      <c r="I75" s="57"/>
      <c r="J75" s="166"/>
    </row>
    <row r="76" spans="1:20" ht="15.6" x14ac:dyDescent="0.3">
      <c r="A76" s="57"/>
      <c r="B76" s="57"/>
      <c r="C76" s="57"/>
      <c r="D76" s="57"/>
      <c r="E76" s="158" t="s">
        <v>117</v>
      </c>
      <c r="F76" s="57"/>
      <c r="G76" s="57"/>
      <c r="H76" s="57"/>
      <c r="I76" s="57"/>
      <c r="J76" s="107"/>
      <c r="K76" s="160"/>
      <c r="L76" s="160"/>
    </row>
    <row r="77" spans="1:20" ht="15" x14ac:dyDescent="0.25">
      <c r="A77" s="57"/>
      <c r="B77" s="60" t="s">
        <v>113</v>
      </c>
      <c r="C77" s="57"/>
      <c r="D77" s="57"/>
      <c r="E77" s="111">
        <f>E70+$H$44</f>
        <v>-11762.663307690289</v>
      </c>
      <c r="F77" s="57"/>
      <c r="G77" s="57">
        <v>30</v>
      </c>
      <c r="H77" s="57" t="s">
        <v>114</v>
      </c>
      <c r="I77" s="57"/>
      <c r="J77" s="163"/>
      <c r="K77" s="163"/>
      <c r="L77" s="160"/>
    </row>
    <row r="78" spans="1:20" ht="15" x14ac:dyDescent="0.25">
      <c r="A78" s="57"/>
      <c r="B78" s="60"/>
      <c r="C78" s="57"/>
      <c r="D78" s="57"/>
      <c r="E78" s="111">
        <f t="shared" ref="E78:E79" si="4">E71+$H$44</f>
        <v>-14996.423292135509</v>
      </c>
      <c r="F78" s="57"/>
      <c r="G78" s="57">
        <v>25</v>
      </c>
      <c r="H78" s="57" t="s">
        <v>114</v>
      </c>
      <c r="I78" s="57"/>
      <c r="J78" s="163"/>
      <c r="K78" s="163"/>
      <c r="L78" s="160"/>
    </row>
    <row r="79" spans="1:20" ht="15" x14ac:dyDescent="0.25">
      <c r="A79" s="57"/>
      <c r="B79" s="57"/>
      <c r="C79" s="57"/>
      <c r="D79" s="57"/>
      <c r="E79" s="111">
        <f t="shared" si="4"/>
        <v>-19899.945357043005</v>
      </c>
      <c r="F79" s="57"/>
      <c r="G79" s="57">
        <v>20</v>
      </c>
      <c r="H79" s="57" t="s">
        <v>114</v>
      </c>
      <c r="I79" s="57"/>
      <c r="J79" s="163"/>
      <c r="K79" s="163"/>
      <c r="L79" s="160"/>
    </row>
    <row r="80" spans="1:20" ht="15" x14ac:dyDescent="0.25">
      <c r="A80" s="57"/>
      <c r="B80" s="57"/>
      <c r="C80" s="57"/>
      <c r="D80" s="57"/>
      <c r="E80" s="57"/>
      <c r="F80" s="57"/>
      <c r="G80" s="57"/>
      <c r="H80" s="57"/>
      <c r="I80" s="57"/>
    </row>
    <row r="81" spans="1:9" ht="15" x14ac:dyDescent="0.25">
      <c r="A81" s="57"/>
      <c r="B81" s="57"/>
      <c r="C81" s="57"/>
      <c r="D81" s="57"/>
      <c r="E81" s="57"/>
      <c r="F81" s="57"/>
      <c r="G81" s="57"/>
      <c r="H81" s="57"/>
      <c r="I81" s="57"/>
    </row>
    <row r="82" spans="1:9" ht="15.6" x14ac:dyDescent="0.3">
      <c r="A82" s="57"/>
      <c r="B82" s="156"/>
      <c r="C82" s="151"/>
      <c r="D82" s="151"/>
      <c r="E82" s="161" t="s">
        <v>122</v>
      </c>
      <c r="F82" s="151"/>
      <c r="G82" s="151"/>
      <c r="H82" s="151"/>
      <c r="I82" s="57"/>
    </row>
    <row r="83" spans="1:9" ht="15" x14ac:dyDescent="0.25">
      <c r="A83" s="57"/>
      <c r="B83" s="57"/>
      <c r="C83" s="57"/>
      <c r="D83" s="57"/>
      <c r="E83" s="158" t="s">
        <v>117</v>
      </c>
      <c r="F83" s="57"/>
      <c r="G83" s="57"/>
      <c r="H83" s="57"/>
      <c r="I83" s="57"/>
    </row>
    <row r="84" spans="1:9" ht="15" x14ac:dyDescent="0.25">
      <c r="A84" s="57"/>
      <c r="B84" s="60" t="s">
        <v>146</v>
      </c>
      <c r="C84" s="57"/>
      <c r="D84" s="57"/>
      <c r="E84" s="111">
        <f>E77+$N$44-$H$44</f>
        <v>-13840.155540690288</v>
      </c>
      <c r="F84" s="57"/>
      <c r="G84" s="57">
        <v>30</v>
      </c>
      <c r="H84" s="57" t="s">
        <v>114</v>
      </c>
      <c r="I84" s="57"/>
    </row>
    <row r="85" spans="1:9" ht="15" x14ac:dyDescent="0.25">
      <c r="A85" s="57"/>
      <c r="B85" s="60"/>
      <c r="C85" s="57"/>
      <c r="D85" s="57"/>
      <c r="E85" s="111">
        <f t="shared" ref="E85:E86" si="5">E78+$H$44</f>
        <v>-14996.423292135509</v>
      </c>
      <c r="F85" s="57"/>
      <c r="G85" s="57">
        <v>25</v>
      </c>
      <c r="H85" s="57" t="s">
        <v>114</v>
      </c>
      <c r="I85" s="57"/>
    </row>
    <row r="86" spans="1:9" ht="15" x14ac:dyDescent="0.25">
      <c r="A86" s="57"/>
      <c r="B86" s="57"/>
      <c r="C86" s="57"/>
      <c r="D86" s="57"/>
      <c r="E86" s="111">
        <f t="shared" si="5"/>
        <v>-19899.945357043005</v>
      </c>
      <c r="F86" s="57"/>
      <c r="G86" s="57">
        <v>20</v>
      </c>
      <c r="H86" s="57" t="s">
        <v>114</v>
      </c>
      <c r="I86" s="57"/>
    </row>
    <row r="87" spans="1:9" ht="15" x14ac:dyDescent="0.25">
      <c r="A87" s="57"/>
      <c r="B87" s="57"/>
      <c r="C87" s="57"/>
      <c r="D87" s="57"/>
      <c r="E87" s="57"/>
      <c r="F87" s="57"/>
      <c r="G87" s="57"/>
      <c r="H87" s="75"/>
      <c r="I87" s="57"/>
    </row>
    <row r="88" spans="1:9" ht="15" x14ac:dyDescent="0.25">
      <c r="A88" s="57"/>
      <c r="B88" s="57"/>
      <c r="C88" s="57"/>
      <c r="D88" s="57"/>
      <c r="E88" s="57"/>
      <c r="F88" s="57"/>
      <c r="G88" s="57"/>
      <c r="H88" s="57"/>
      <c r="I88" s="57"/>
    </row>
    <row r="89" spans="1:9" ht="15" x14ac:dyDescent="0.25">
      <c r="A89" s="57"/>
      <c r="B89" s="57"/>
      <c r="C89" s="57"/>
      <c r="D89" s="57"/>
      <c r="E89" s="57"/>
      <c r="F89" s="57"/>
      <c r="G89" s="57"/>
      <c r="H89" s="57"/>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72"/>
      <c r="C93" s="72"/>
      <c r="D93" s="72"/>
      <c r="E93" s="72"/>
      <c r="F93" s="72"/>
      <c r="G93" s="72"/>
      <c r="H93" s="72"/>
      <c r="I93" s="72"/>
    </row>
    <row r="94" spans="1:9" ht="15" x14ac:dyDescent="0.25">
      <c r="A94" s="57"/>
      <c r="B94" s="72"/>
      <c r="C94" s="72"/>
      <c r="D94" s="72"/>
      <c r="E94" s="72"/>
      <c r="F94" s="72"/>
      <c r="G94" s="72"/>
      <c r="H94" s="72"/>
      <c r="I94" s="72"/>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82"/>
      <c r="C97" s="82"/>
      <c r="D97" s="82"/>
      <c r="E97" s="82"/>
      <c r="F97" s="82"/>
      <c r="G97" s="82"/>
      <c r="H97" s="57"/>
      <c r="I97" s="57"/>
    </row>
    <row r="98" spans="1:9" ht="15" x14ac:dyDescent="0.25">
      <c r="B98" s="83"/>
      <c r="C98" s="83"/>
      <c r="D98" s="83"/>
      <c r="E98" s="83"/>
      <c r="F98" s="84"/>
      <c r="G98" s="83"/>
    </row>
  </sheetData>
  <sheetProtection algorithmName="SHA-512" hashValue="R9uTDmWUZJswISXzIWA+u/OYE9pbl/cnMXaXh/38kGC8EeDZWnhX4IqLBzwfCKmhFYKnFuf6mtrVQ4sKCwWUtA==" saltValue="bfWzOw3cYP/iVvJSVSuD3w==" spinCount="100000" sheet="1" selectLockedCells="1"/>
  <mergeCells count="3">
    <mergeCell ref="B62:I62"/>
    <mergeCell ref="A1:G1"/>
    <mergeCell ref="F2:J2"/>
  </mergeCells>
  <phoneticPr fontId="0" type="noConversion"/>
  <hyperlinks>
    <hyperlink ref="I10" r:id="rId1" xr:uid="{8D9ED986-B684-4F22-A729-4BAE228CBBA3}"/>
    <hyperlink ref="Q39" r:id="rId2" xr:uid="{148A839E-84A0-44A6-95F3-7B00499EF28D}"/>
  </hyperlinks>
  <pageMargins left="0.75" right="0.75" top="1" bottom="1" header="0.5" footer="0.5"/>
  <pageSetup paperSize="9" scale="76" orientation="portrait" r:id="rId3"/>
  <headerFooter alignWithMargins="0">
    <oddFooter>&amp;CThis is based on estimated costs and returns.</oddFooter>
  </headerFooter>
  <drawing r:id="rId4"/>
  <legacyDrawing r:id="rId5"/>
  <legacyDrawingHF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E09D-C54B-4306-AF46-C72643102061}">
  <sheetPr codeName="Sheet5">
    <pageSetUpPr fitToPage="1"/>
  </sheetPr>
  <dimension ref="A1:O99"/>
  <sheetViews>
    <sheetView zoomScale="120" zoomScaleNormal="120" workbookViewId="0">
      <selection activeCell="D16" sqref="D16"/>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6384" width="9.109375" style="54"/>
  </cols>
  <sheetData>
    <row r="1" spans="1:15" ht="55.5" customHeight="1" x14ac:dyDescent="0.25">
      <c r="A1" s="190"/>
      <c r="B1" s="190"/>
      <c r="C1" s="190"/>
      <c r="D1" s="190"/>
      <c r="E1" s="190"/>
      <c r="F1" s="190"/>
      <c r="G1" s="190"/>
    </row>
    <row r="2" spans="1:15" ht="22.8" x14ac:dyDescent="0.4">
      <c r="B2" s="55" t="s">
        <v>24</v>
      </c>
      <c r="F2" s="192" t="s">
        <v>151</v>
      </c>
      <c r="G2" s="193"/>
      <c r="H2" s="193"/>
      <c r="I2" s="193"/>
      <c r="J2" s="193"/>
    </row>
    <row r="3" spans="1:15" ht="15.6" x14ac:dyDescent="0.3">
      <c r="J3" s="107" t="s">
        <v>96</v>
      </c>
      <c r="N3" s="107" t="s">
        <v>145</v>
      </c>
    </row>
    <row r="4" spans="1:15" x14ac:dyDescent="0.25">
      <c r="A4" s="56"/>
      <c r="B4" s="56"/>
      <c r="C4" s="56"/>
      <c r="D4" s="56"/>
      <c r="E4" s="56"/>
      <c r="F4" s="56"/>
      <c r="G4" s="56"/>
      <c r="H4" s="56"/>
      <c r="I4" s="56"/>
    </row>
    <row r="5" spans="1:15" ht="1.5" customHeight="1" x14ac:dyDescent="0.25">
      <c r="A5" s="56"/>
      <c r="B5" s="57"/>
      <c r="C5" s="56"/>
      <c r="D5" s="58"/>
      <c r="E5" s="56"/>
      <c r="F5" s="56"/>
      <c r="G5" s="56"/>
      <c r="H5" s="56"/>
      <c r="I5" s="56"/>
    </row>
    <row r="6" spans="1:15" ht="15.6" x14ac:dyDescent="0.3">
      <c r="A6" s="57"/>
      <c r="B6" s="57" t="s">
        <v>21</v>
      </c>
      <c r="C6" s="57"/>
      <c r="D6" s="45">
        <v>780000</v>
      </c>
      <c r="E6" s="58"/>
      <c r="F6" s="57"/>
      <c r="G6" s="57"/>
      <c r="H6" s="57"/>
      <c r="I6" s="57"/>
      <c r="J6" s="106">
        <f>'p2 10 year'!P6</f>
        <v>1374774.7502238748</v>
      </c>
    </row>
    <row r="7" spans="1:15" ht="15" x14ac:dyDescent="0.25">
      <c r="A7" s="57"/>
      <c r="B7" s="57" t="s">
        <v>92</v>
      </c>
      <c r="C7" s="57"/>
      <c r="D7" s="45">
        <f>1500+160+500+500</f>
        <v>2660</v>
      </c>
      <c r="E7" s="58"/>
      <c r="F7" s="57"/>
      <c r="G7" s="57"/>
      <c r="H7" s="57"/>
      <c r="I7" s="57"/>
    </row>
    <row r="8" spans="1:15" ht="15" x14ac:dyDescent="0.25">
      <c r="A8" s="57"/>
      <c r="B8" s="57" t="s">
        <v>93</v>
      </c>
      <c r="C8" s="57"/>
      <c r="D8" s="45">
        <v>1500</v>
      </c>
      <c r="E8" s="58"/>
      <c r="F8" s="57"/>
      <c r="G8" s="57"/>
      <c r="H8" s="57"/>
      <c r="I8" s="57"/>
    </row>
    <row r="9" spans="1:15" ht="15" x14ac:dyDescent="0.25">
      <c r="A9" s="57"/>
      <c r="B9" s="57"/>
      <c r="C9" s="57"/>
      <c r="D9" s="58"/>
      <c r="E9" s="59">
        <f>D6+D7-D8</f>
        <v>781160</v>
      </c>
      <c r="F9" s="57"/>
      <c r="G9" s="57"/>
      <c r="H9" s="57"/>
      <c r="I9" s="57"/>
    </row>
    <row r="10" spans="1:15" ht="15" x14ac:dyDescent="0.25">
      <c r="A10" s="57"/>
      <c r="B10" s="57" t="s">
        <v>94</v>
      </c>
      <c r="C10" s="57"/>
      <c r="D10" s="58"/>
      <c r="E10" s="45"/>
      <c r="F10" s="57"/>
      <c r="G10" s="57"/>
      <c r="H10" s="57"/>
      <c r="I10" s="57"/>
    </row>
    <row r="11" spans="1:15" ht="15" x14ac:dyDescent="0.25">
      <c r="A11" s="57"/>
      <c r="B11" s="57"/>
      <c r="C11" s="57"/>
      <c r="D11" s="58"/>
      <c r="E11" s="58"/>
      <c r="F11" s="57"/>
      <c r="G11" s="57"/>
      <c r="H11" s="57"/>
      <c r="I11" s="57"/>
    </row>
    <row r="12" spans="1:15" ht="15" x14ac:dyDescent="0.25">
      <c r="A12" s="57"/>
      <c r="B12" s="60" t="s">
        <v>9</v>
      </c>
      <c r="C12" s="57"/>
      <c r="D12" s="58"/>
      <c r="E12" s="59">
        <f>E9-E10</f>
        <v>781160</v>
      </c>
      <c r="F12" s="57"/>
      <c r="G12" s="57"/>
      <c r="H12" s="57"/>
      <c r="I12" s="57"/>
    </row>
    <row r="13" spans="1:15" ht="8.25" customHeight="1" x14ac:dyDescent="0.25">
      <c r="A13" s="57"/>
      <c r="B13" s="57"/>
      <c r="C13" s="57"/>
      <c r="D13" s="58"/>
      <c r="E13" s="58"/>
      <c r="F13" s="57"/>
      <c r="G13" s="57"/>
      <c r="H13" s="57"/>
      <c r="I13" s="57"/>
    </row>
    <row r="14" spans="1:15" ht="17.399999999999999" x14ac:dyDescent="0.3">
      <c r="A14" s="57"/>
      <c r="B14" s="61" t="s">
        <v>0</v>
      </c>
      <c r="C14" s="57"/>
      <c r="D14" s="57"/>
      <c r="E14" s="57"/>
      <c r="F14" s="57"/>
      <c r="G14" s="57"/>
      <c r="H14" s="57"/>
      <c r="I14" s="57"/>
    </row>
    <row r="15" spans="1:15" ht="8.25" customHeight="1" x14ac:dyDescent="0.25">
      <c r="A15" s="57"/>
      <c r="B15" s="57"/>
      <c r="C15" s="57"/>
      <c r="D15" s="57"/>
      <c r="E15" s="57"/>
      <c r="F15" s="57"/>
      <c r="G15" s="57"/>
      <c r="H15" s="57"/>
      <c r="I15" s="57"/>
    </row>
    <row r="16" spans="1:15" ht="15.6" x14ac:dyDescent="0.3">
      <c r="A16" s="57"/>
      <c r="B16" s="57" t="s">
        <v>27</v>
      </c>
      <c r="C16" s="57" t="s">
        <v>25</v>
      </c>
      <c r="D16" s="46">
        <v>52</v>
      </c>
      <c r="E16" s="57"/>
      <c r="F16" s="57"/>
      <c r="G16" s="57"/>
      <c r="H16" s="108">
        <f>D16*D17</f>
        <v>30160</v>
      </c>
      <c r="I16" s="57"/>
      <c r="J16" s="106">
        <f>'p2 10 year'!P14</f>
        <v>39351.959224290018</v>
      </c>
      <c r="N16" s="160"/>
      <c r="O16" s="162">
        <f>H16</f>
        <v>30160</v>
      </c>
    </row>
    <row r="17" spans="1:15" ht="15" x14ac:dyDescent="0.25">
      <c r="A17" s="57"/>
      <c r="B17" s="57"/>
      <c r="C17" s="57" t="s">
        <v>26</v>
      </c>
      <c r="D17" s="110">
        <v>580</v>
      </c>
      <c r="E17" s="57"/>
      <c r="F17" s="57"/>
      <c r="G17" s="57"/>
      <c r="H17" s="57"/>
      <c r="I17" s="57"/>
      <c r="N17" s="160"/>
      <c r="O17" s="160"/>
    </row>
    <row r="18" spans="1:15" ht="15" x14ac:dyDescent="0.25">
      <c r="A18" s="57"/>
      <c r="B18" s="57"/>
      <c r="C18" s="57"/>
      <c r="D18" s="57" t="s">
        <v>11</v>
      </c>
      <c r="E18" s="57"/>
      <c r="F18" s="57"/>
      <c r="G18" s="62">
        <f>H16/E9</f>
        <v>3.8609247785344872E-2</v>
      </c>
      <c r="H18" s="63"/>
      <c r="I18" s="57"/>
      <c r="N18" s="160"/>
      <c r="O18" s="160"/>
    </row>
    <row r="19" spans="1:15" ht="6.75" customHeight="1" x14ac:dyDescent="0.25">
      <c r="A19" s="57"/>
      <c r="B19" s="57"/>
      <c r="C19" s="57"/>
      <c r="D19" s="57"/>
      <c r="E19" s="57"/>
      <c r="F19" s="57"/>
      <c r="G19" s="57"/>
      <c r="H19" s="57"/>
      <c r="I19" s="57"/>
      <c r="N19" s="160"/>
      <c r="O19" s="160"/>
    </row>
    <row r="20" spans="1:15" ht="24" customHeight="1" x14ac:dyDescent="0.3">
      <c r="A20" s="57"/>
      <c r="B20" s="64" t="s">
        <v>1</v>
      </c>
      <c r="C20" s="65"/>
      <c r="D20" s="57"/>
      <c r="E20" s="57"/>
      <c r="F20" s="57"/>
      <c r="G20" s="57"/>
      <c r="H20" s="57"/>
      <c r="I20" s="57"/>
      <c r="N20" s="160"/>
      <c r="O20" s="160"/>
    </row>
    <row r="21" spans="1:15" ht="15" x14ac:dyDescent="0.25">
      <c r="A21" s="57"/>
      <c r="B21" s="57"/>
      <c r="C21" s="57"/>
      <c r="D21" s="57"/>
      <c r="E21" s="57"/>
      <c r="F21" s="57"/>
      <c r="G21" s="57"/>
      <c r="H21" s="57"/>
      <c r="I21" s="57"/>
      <c r="N21" s="160"/>
      <c r="O21" s="160"/>
    </row>
    <row r="22" spans="1:15" ht="15" x14ac:dyDescent="0.25">
      <c r="A22" s="57"/>
      <c r="B22" s="57" t="s">
        <v>7</v>
      </c>
      <c r="C22" s="57"/>
      <c r="D22" s="57"/>
      <c r="E22" s="57"/>
      <c r="F22" s="57"/>
      <c r="G22" s="110">
        <v>1700</v>
      </c>
      <c r="H22" s="111"/>
      <c r="I22" s="57"/>
      <c r="N22" s="162">
        <f>G22</f>
        <v>1700</v>
      </c>
      <c r="O22" s="160"/>
    </row>
    <row r="23" spans="1:15" ht="15" x14ac:dyDescent="0.25">
      <c r="A23" s="57"/>
      <c r="B23" s="57" t="s">
        <v>8</v>
      </c>
      <c r="C23" s="57"/>
      <c r="D23" s="57"/>
      <c r="E23" s="57"/>
      <c r="F23" s="57"/>
      <c r="G23" s="110">
        <v>50</v>
      </c>
      <c r="H23" s="111"/>
      <c r="I23" s="57"/>
      <c r="N23" s="162">
        <f t="shared" ref="N23:N32" si="0">G23</f>
        <v>50</v>
      </c>
      <c r="O23" s="160"/>
    </row>
    <row r="24" spans="1:15" ht="15" x14ac:dyDescent="0.25">
      <c r="A24" s="57"/>
      <c r="B24" s="57" t="s">
        <v>14</v>
      </c>
      <c r="C24" s="57"/>
      <c r="D24" s="57"/>
      <c r="E24" s="57"/>
      <c r="F24" s="57"/>
      <c r="G24" s="110">
        <v>0</v>
      </c>
      <c r="H24" s="111"/>
      <c r="I24" s="57"/>
      <c r="N24" s="162">
        <f t="shared" si="0"/>
        <v>0</v>
      </c>
      <c r="O24" s="160"/>
    </row>
    <row r="25" spans="1:15" ht="15" x14ac:dyDescent="0.25">
      <c r="A25" s="57"/>
      <c r="B25" s="57" t="s">
        <v>2</v>
      </c>
      <c r="C25" s="57"/>
      <c r="D25" s="57"/>
      <c r="E25" s="57"/>
      <c r="F25" s="57"/>
      <c r="G25" s="110">
        <v>1200</v>
      </c>
      <c r="H25" s="111"/>
      <c r="I25" s="57"/>
      <c r="N25" s="162">
        <f t="shared" si="0"/>
        <v>1200</v>
      </c>
      <c r="O25" s="160"/>
    </row>
    <row r="26" spans="1:15" ht="15.6" x14ac:dyDescent="0.3">
      <c r="A26" s="57"/>
      <c r="B26" s="57" t="s">
        <v>28</v>
      </c>
      <c r="C26" s="57"/>
      <c r="D26" s="57" t="s">
        <v>29</v>
      </c>
      <c r="E26" s="47">
        <v>2.29E-2</v>
      </c>
      <c r="F26" s="57"/>
      <c r="G26" s="66">
        <f>E12*E26</f>
        <v>17888.563999999998</v>
      </c>
      <c r="H26" s="111"/>
      <c r="I26" s="98"/>
      <c r="J26" s="106">
        <f>'p2 10 year'!P24</f>
        <v>32222.850000000002</v>
      </c>
      <c r="N26" s="162">
        <v>0</v>
      </c>
      <c r="O26" s="160"/>
    </row>
    <row r="27" spans="1:15" ht="15" x14ac:dyDescent="0.25">
      <c r="A27" s="57"/>
      <c r="B27" s="57" t="s">
        <v>95</v>
      </c>
      <c r="C27" s="57"/>
      <c r="D27" s="57"/>
      <c r="E27" s="57"/>
      <c r="F27" s="57"/>
      <c r="G27" s="85">
        <f>(H16*'Data to enter'!C13+300)*1.15</f>
        <v>3119.72</v>
      </c>
      <c r="H27" s="111"/>
      <c r="I27" s="57"/>
      <c r="N27" s="162">
        <f t="shared" si="0"/>
        <v>3119.72</v>
      </c>
      <c r="O27" s="160"/>
    </row>
    <row r="28" spans="1:15" ht="15" x14ac:dyDescent="0.25">
      <c r="A28" s="57"/>
      <c r="B28" s="57" t="s">
        <v>3</v>
      </c>
      <c r="C28" s="57"/>
      <c r="D28" s="57"/>
      <c r="E28" s="57"/>
      <c r="F28" s="57"/>
      <c r="G28" s="110">
        <v>3000</v>
      </c>
      <c r="H28" s="111"/>
      <c r="I28" s="57"/>
      <c r="N28" s="162">
        <f t="shared" si="0"/>
        <v>3000</v>
      </c>
      <c r="O28" s="160"/>
    </row>
    <row r="29" spans="1:15" ht="15" x14ac:dyDescent="0.25">
      <c r="A29" s="57"/>
      <c r="B29" s="57" t="s">
        <v>6</v>
      </c>
      <c r="C29" s="57"/>
      <c r="D29" s="57"/>
      <c r="E29" s="57"/>
      <c r="F29" s="57"/>
      <c r="G29" s="110">
        <v>500</v>
      </c>
      <c r="H29" s="111"/>
      <c r="I29" s="57"/>
      <c r="N29" s="162">
        <f t="shared" si="0"/>
        <v>500</v>
      </c>
      <c r="O29" s="160"/>
    </row>
    <row r="30" spans="1:15" ht="15" x14ac:dyDescent="0.25">
      <c r="A30" s="57"/>
      <c r="B30" s="57" t="s">
        <v>22</v>
      </c>
      <c r="C30" s="57"/>
      <c r="D30" s="57"/>
      <c r="E30" s="57"/>
      <c r="F30" s="57"/>
      <c r="G30" s="110">
        <v>100</v>
      </c>
      <c r="H30" s="111"/>
      <c r="I30" s="57"/>
      <c r="N30" s="162">
        <f t="shared" si="0"/>
        <v>100</v>
      </c>
      <c r="O30" s="160"/>
    </row>
    <row r="31" spans="1:15" ht="15" x14ac:dyDescent="0.25">
      <c r="A31" s="57"/>
      <c r="B31" s="57" t="s">
        <v>23</v>
      </c>
      <c r="C31" s="57"/>
      <c r="D31" s="57"/>
      <c r="E31" s="57"/>
      <c r="F31" s="57"/>
      <c r="G31" s="110">
        <v>300</v>
      </c>
      <c r="H31" s="111"/>
      <c r="I31" s="57"/>
      <c r="J31" s="67"/>
      <c r="N31" s="162">
        <f t="shared" si="0"/>
        <v>300</v>
      </c>
      <c r="O31" s="160"/>
    </row>
    <row r="32" spans="1:15" ht="15" x14ac:dyDescent="0.25">
      <c r="A32" s="57"/>
      <c r="B32" s="57" t="s">
        <v>5</v>
      </c>
      <c r="C32" s="57"/>
      <c r="D32" s="57"/>
      <c r="E32" s="57"/>
      <c r="F32" s="57"/>
      <c r="G32" s="112">
        <v>86</v>
      </c>
      <c r="H32" s="111"/>
      <c r="I32" s="57"/>
      <c r="N32" s="162">
        <f t="shared" si="0"/>
        <v>86</v>
      </c>
      <c r="O32" s="160"/>
    </row>
    <row r="33" spans="1:15" ht="15" x14ac:dyDescent="0.25">
      <c r="A33" s="57"/>
      <c r="B33" s="57"/>
      <c r="C33" s="57"/>
      <c r="D33" s="57"/>
      <c r="E33" s="57"/>
      <c r="F33" s="57"/>
      <c r="G33" s="111"/>
      <c r="H33" s="111"/>
      <c r="I33" s="57"/>
    </row>
    <row r="34" spans="1:15" ht="18" thickBot="1" x14ac:dyDescent="0.35">
      <c r="A34" s="57"/>
      <c r="B34" s="64" t="s">
        <v>4</v>
      </c>
      <c r="C34" s="64"/>
      <c r="D34" s="57"/>
      <c r="E34" s="57"/>
      <c r="F34" s="57"/>
      <c r="G34" s="111"/>
      <c r="H34" s="113">
        <f>SUM(G22:G32)</f>
        <v>27944.284</v>
      </c>
      <c r="I34" s="57"/>
      <c r="J34" s="106">
        <f>'p2 10 year'!P32</f>
        <v>45343.283800095414</v>
      </c>
      <c r="O34" s="182">
        <f>SUM(N22:N32)</f>
        <v>10055.719999999999</v>
      </c>
    </row>
    <row r="35" spans="1:15" ht="15" x14ac:dyDescent="0.25">
      <c r="A35" s="57"/>
      <c r="B35" s="57"/>
      <c r="C35" s="57"/>
      <c r="D35" s="57"/>
      <c r="E35" s="57"/>
      <c r="F35" s="57"/>
      <c r="G35" s="111"/>
      <c r="H35" s="111"/>
      <c r="I35" s="57"/>
      <c r="J35" s="95"/>
    </row>
    <row r="36" spans="1:15" ht="15.6" x14ac:dyDescent="0.3">
      <c r="A36" s="57"/>
      <c r="B36" s="68" t="s">
        <v>10</v>
      </c>
      <c r="C36" s="68"/>
      <c r="D36" s="68"/>
      <c r="E36" s="57"/>
      <c r="F36" s="57"/>
      <c r="G36" s="111"/>
      <c r="H36" s="66">
        <f>H16-H34</f>
        <v>2215.7160000000003</v>
      </c>
      <c r="I36" s="57"/>
      <c r="J36" s="106">
        <f>J16-J34</f>
        <v>-5991.3245758053963</v>
      </c>
      <c r="O36" s="106">
        <f>O16-O34</f>
        <v>20104.28</v>
      </c>
    </row>
    <row r="37" spans="1:15" ht="15" x14ac:dyDescent="0.25">
      <c r="A37" s="57"/>
      <c r="B37" s="57"/>
      <c r="C37" s="57"/>
      <c r="D37" s="57"/>
      <c r="E37" s="57"/>
      <c r="F37" s="57"/>
      <c r="G37" s="111"/>
      <c r="H37" s="111"/>
      <c r="I37" s="57"/>
      <c r="J37" s="95"/>
      <c r="O37" s="160"/>
    </row>
    <row r="38" spans="1:15" ht="15" x14ac:dyDescent="0.25">
      <c r="A38" s="57"/>
      <c r="B38" s="60" t="s">
        <v>12</v>
      </c>
      <c r="C38" s="60"/>
      <c r="D38" s="57"/>
      <c r="E38" s="57" t="s">
        <v>15</v>
      </c>
      <c r="F38" s="57"/>
      <c r="G38" s="111"/>
      <c r="H38" s="66">
        <v>0</v>
      </c>
      <c r="I38" s="57"/>
      <c r="J38" s="95"/>
      <c r="O38" s="160"/>
    </row>
    <row r="39" spans="1:15" ht="15.6" x14ac:dyDescent="0.3">
      <c r="A39" s="57"/>
      <c r="B39" s="57"/>
      <c r="C39" s="57"/>
      <c r="D39" s="57"/>
      <c r="E39" s="57" t="s">
        <v>16</v>
      </c>
      <c r="F39" s="57"/>
      <c r="G39" s="111"/>
      <c r="H39" s="110">
        <v>6000</v>
      </c>
      <c r="I39" s="57"/>
      <c r="J39" s="106">
        <f>'p2 10 year'!P37</f>
        <v>450.50811767578125</v>
      </c>
      <c r="O39" s="162">
        <f>H39</f>
        <v>6000</v>
      </c>
    </row>
    <row r="40" spans="1:15" ht="15" x14ac:dyDescent="0.25">
      <c r="A40" s="57"/>
      <c r="B40" s="57"/>
      <c r="C40" s="57"/>
      <c r="D40" s="57"/>
      <c r="E40" s="57"/>
      <c r="F40" s="57"/>
      <c r="G40" s="111"/>
      <c r="H40" s="111"/>
      <c r="I40" s="57"/>
      <c r="J40" s="95"/>
    </row>
    <row r="41" spans="1:15" ht="15" x14ac:dyDescent="0.25">
      <c r="A41" s="57"/>
      <c r="B41" s="57"/>
      <c r="C41" s="57"/>
      <c r="D41" s="57"/>
      <c r="E41" s="57"/>
      <c r="F41" s="57"/>
      <c r="G41" s="111"/>
      <c r="H41" s="111"/>
      <c r="I41" s="57"/>
      <c r="J41" s="95"/>
    </row>
    <row r="42" spans="1:15" ht="16.2" thickBot="1" x14ac:dyDescent="0.35">
      <c r="A42" s="57"/>
      <c r="B42" s="60" t="s">
        <v>13</v>
      </c>
      <c r="C42" s="60"/>
      <c r="D42" s="60"/>
      <c r="E42" s="60"/>
      <c r="F42" s="60"/>
      <c r="G42" s="66"/>
      <c r="H42" s="114">
        <f>H36-H38-H39-H40</f>
        <v>-3784.2839999999997</v>
      </c>
      <c r="I42" s="57"/>
      <c r="J42" s="106">
        <f>J36-J39</f>
        <v>-6441.8326934811776</v>
      </c>
      <c r="O42" s="180">
        <f>O36-O39</f>
        <v>14104.279999999999</v>
      </c>
    </row>
    <row r="43" spans="1:15" ht="15.6" thickTop="1" x14ac:dyDescent="0.25">
      <c r="A43" s="57"/>
      <c r="B43" s="60"/>
      <c r="C43" s="60"/>
      <c r="D43" s="60"/>
      <c r="E43" s="60"/>
      <c r="F43" s="60"/>
      <c r="G43" s="66"/>
      <c r="H43" s="66"/>
      <c r="I43" s="57"/>
      <c r="J43" s="95"/>
    </row>
    <row r="44" spans="1:15" ht="17.399999999999999" x14ac:dyDescent="0.3">
      <c r="A44" s="57"/>
      <c r="B44" s="70" t="s">
        <v>30</v>
      </c>
      <c r="C44" s="60"/>
      <c r="D44" s="60"/>
      <c r="E44" s="71"/>
      <c r="F44" s="60"/>
      <c r="G44" s="66"/>
      <c r="H44" s="66">
        <f>IF(H42&lt;0,0,-(H42*$G$45*$E$45)+-(H42*$G$46*$E$46))</f>
        <v>0</v>
      </c>
      <c r="I44" s="66"/>
      <c r="J44" s="66">
        <f t="shared" ref="J44" si="1">IF(J42&lt;0,0,-(J42*$G$45*$E$45)+-(J42*$G$46*$E$46))</f>
        <v>0</v>
      </c>
      <c r="L44" s="67" t="s">
        <v>86</v>
      </c>
      <c r="M44" s="67"/>
      <c r="O44" s="66">
        <f>IF(O42&lt;0,0,-(O42*$G$45*$E$45)+-(O42*$G$46*$E$46))</f>
        <v>-4632.5507660000003</v>
      </c>
    </row>
    <row r="45" spans="1:15" ht="15" x14ac:dyDescent="0.25">
      <c r="A45" s="57"/>
      <c r="B45" s="60"/>
      <c r="C45" s="60" t="s">
        <v>32</v>
      </c>
      <c r="D45" s="60" t="s">
        <v>31</v>
      </c>
      <c r="E45" s="47">
        <v>0.33</v>
      </c>
      <c r="F45" s="60" t="s">
        <v>33</v>
      </c>
      <c r="G45" s="48">
        <v>0.99</v>
      </c>
      <c r="H45" s="69"/>
      <c r="I45" s="57"/>
      <c r="J45" s="95"/>
      <c r="L45" s="67" t="s">
        <v>87</v>
      </c>
      <c r="M45" s="67"/>
    </row>
    <row r="46" spans="1:15" ht="15" x14ac:dyDescent="0.25">
      <c r="A46" s="57"/>
      <c r="B46" s="60"/>
      <c r="C46" s="60" t="s">
        <v>34</v>
      </c>
      <c r="D46" s="60"/>
      <c r="E46" s="47">
        <v>0.17499999999999999</v>
      </c>
      <c r="F46" s="60"/>
      <c r="G46" s="48">
        <v>0.01</v>
      </c>
      <c r="H46" s="69"/>
      <c r="I46" s="57"/>
      <c r="J46" s="95"/>
      <c r="L46" s="67" t="s">
        <v>85</v>
      </c>
      <c r="M46" s="67"/>
    </row>
    <row r="47" spans="1:15" ht="15" x14ac:dyDescent="0.25">
      <c r="A47" s="57"/>
      <c r="B47" s="72"/>
      <c r="C47" s="72"/>
      <c r="D47" s="72"/>
      <c r="E47" s="72"/>
      <c r="F47" s="72"/>
      <c r="G47" s="72"/>
      <c r="H47" s="72"/>
      <c r="I47" s="72"/>
      <c r="J47" s="95"/>
    </row>
    <row r="48" spans="1:15" ht="18" thickBot="1" x14ac:dyDescent="0.35">
      <c r="A48" s="57"/>
      <c r="B48" s="60" t="s">
        <v>36</v>
      </c>
      <c r="C48" s="72"/>
      <c r="D48" s="72"/>
      <c r="E48" s="72"/>
      <c r="F48" s="72"/>
      <c r="G48" s="72"/>
      <c r="H48" s="73">
        <f>H36+H44</f>
        <v>2215.7160000000003</v>
      </c>
      <c r="I48" s="74"/>
      <c r="J48" s="109">
        <f>J36+J44</f>
        <v>-5991.3245758053963</v>
      </c>
      <c r="O48" s="180">
        <f>H36+O44</f>
        <v>-2416.8347659999999</v>
      </c>
    </row>
    <row r="49" spans="1:15" ht="15.6" thickTop="1" x14ac:dyDescent="0.25">
      <c r="A49" s="57"/>
      <c r="B49" s="57"/>
      <c r="C49" s="57"/>
      <c r="D49" s="57"/>
      <c r="E49" s="57"/>
      <c r="F49" s="57"/>
      <c r="G49" s="63"/>
      <c r="H49" s="57"/>
      <c r="I49" s="57"/>
    </row>
    <row r="50" spans="1:15" ht="15.6" x14ac:dyDescent="0.3">
      <c r="A50" s="57"/>
      <c r="B50" s="60" t="s">
        <v>17</v>
      </c>
      <c r="C50" s="57"/>
      <c r="D50" s="57"/>
      <c r="E50" s="57"/>
      <c r="F50" s="57"/>
      <c r="G50" s="63"/>
      <c r="H50" s="59">
        <f>H48/52</f>
        <v>42.609923076923081</v>
      </c>
      <c r="I50" s="58"/>
      <c r="J50" s="115">
        <f>J48/52</f>
        <v>-115.21778030394992</v>
      </c>
      <c r="O50" s="106">
        <f>O48/52</f>
        <v>-46.477591653846154</v>
      </c>
    </row>
    <row r="51" spans="1:15" ht="15" x14ac:dyDescent="0.25">
      <c r="A51" s="57"/>
      <c r="B51" s="57"/>
      <c r="C51" s="57"/>
      <c r="D51" s="57"/>
      <c r="E51" s="57"/>
      <c r="F51" s="57"/>
      <c r="G51" s="63"/>
      <c r="H51" s="75"/>
      <c r="I51" s="57"/>
    </row>
    <row r="52" spans="1:15" ht="15" x14ac:dyDescent="0.25">
      <c r="A52" s="57"/>
      <c r="B52" s="57" t="s">
        <v>19</v>
      </c>
      <c r="C52" s="57"/>
      <c r="D52" s="57"/>
      <c r="E52" s="57"/>
      <c r="F52" s="57"/>
      <c r="G52" s="62" t="e">
        <f>H48/E10</f>
        <v>#DIV/0!</v>
      </c>
      <c r="H52" s="69" t="s">
        <v>18</v>
      </c>
      <c r="I52" s="57"/>
    </row>
    <row r="53" spans="1:15" ht="15" x14ac:dyDescent="0.25">
      <c r="A53" s="57"/>
      <c r="B53" s="57"/>
      <c r="C53" s="57"/>
      <c r="D53" s="57"/>
      <c r="E53" s="63"/>
      <c r="F53" s="57"/>
      <c r="G53" s="76"/>
      <c r="H53" s="57"/>
      <c r="I53" s="57"/>
    </row>
    <row r="54" spans="1:15" ht="15" x14ac:dyDescent="0.25">
      <c r="A54" s="57"/>
      <c r="B54" s="57" t="s">
        <v>35</v>
      </c>
      <c r="C54" s="57"/>
      <c r="D54" s="57"/>
      <c r="E54" s="47">
        <v>0.03</v>
      </c>
      <c r="F54" s="57"/>
      <c r="G54" s="63"/>
      <c r="H54" s="69">
        <f>E9*E54</f>
        <v>23434.799999999999</v>
      </c>
      <c r="I54" s="57"/>
    </row>
    <row r="55" spans="1:15" ht="15" x14ac:dyDescent="0.25">
      <c r="A55" s="57"/>
      <c r="B55" s="57"/>
      <c r="C55" s="57"/>
      <c r="D55" s="57"/>
      <c r="E55" s="57"/>
      <c r="F55" s="57"/>
      <c r="G55" s="63"/>
      <c r="H55" s="75"/>
      <c r="I55" s="57"/>
    </row>
    <row r="56" spans="1:15" ht="15" x14ac:dyDescent="0.25">
      <c r="A56" s="57"/>
      <c r="B56" s="72" t="s">
        <v>20</v>
      </c>
      <c r="C56" s="72"/>
      <c r="D56" s="72"/>
      <c r="E56" s="72"/>
      <c r="F56" s="57"/>
      <c r="G56" s="63" t="e">
        <f>(H48+H54)/E10</f>
        <v>#DIV/0!</v>
      </c>
      <c r="H56" s="75" t="s">
        <v>18</v>
      </c>
      <c r="I56" s="57"/>
    </row>
    <row r="57" spans="1:15" ht="14.25" customHeight="1" x14ac:dyDescent="0.25">
      <c r="A57" s="57"/>
      <c r="B57" s="57"/>
      <c r="C57" s="57"/>
      <c r="D57" s="57"/>
      <c r="E57" s="57"/>
      <c r="F57" s="57"/>
      <c r="G57" s="63"/>
      <c r="H57" s="75"/>
      <c r="I57" s="57"/>
    </row>
    <row r="58" spans="1:15" ht="15" hidden="1" x14ac:dyDescent="0.25">
      <c r="A58" s="57"/>
      <c r="B58" s="77"/>
      <c r="C58" s="77"/>
      <c r="D58" s="77"/>
      <c r="E58" s="77"/>
      <c r="F58" s="77"/>
      <c r="G58" s="78"/>
      <c r="H58" s="77"/>
      <c r="I58" s="77"/>
      <c r="J58" s="79"/>
    </row>
    <row r="59" spans="1:15" hidden="1" x14ac:dyDescent="0.25">
      <c r="B59" s="79"/>
      <c r="C59" s="79"/>
      <c r="D59" s="79"/>
      <c r="E59" s="79"/>
      <c r="F59" s="79"/>
      <c r="G59" s="79"/>
      <c r="H59" s="79"/>
      <c r="I59" s="79"/>
      <c r="J59" s="79"/>
    </row>
    <row r="60" spans="1:15" hidden="1" x14ac:dyDescent="0.25">
      <c r="A60" s="56"/>
      <c r="B60" s="80"/>
      <c r="C60" s="81"/>
      <c r="D60" s="80"/>
      <c r="E60" s="80"/>
      <c r="F60" s="80"/>
      <c r="G60" s="80"/>
      <c r="H60" s="80"/>
      <c r="I60" s="80"/>
      <c r="J60" s="79"/>
    </row>
    <row r="61" spans="1:15" hidden="1" x14ac:dyDescent="0.25">
      <c r="A61" s="56"/>
      <c r="B61" s="56"/>
      <c r="C61" s="56"/>
      <c r="D61" s="56"/>
      <c r="E61" s="56"/>
      <c r="F61" s="56"/>
      <c r="G61" s="56"/>
      <c r="H61" s="56"/>
      <c r="I61" s="56"/>
    </row>
    <row r="62" spans="1:15" ht="29.4" x14ac:dyDescent="0.45">
      <c r="A62" s="56"/>
      <c r="B62" s="191"/>
      <c r="C62" s="191"/>
      <c r="D62" s="191"/>
      <c r="E62" s="191"/>
      <c r="F62" s="191"/>
      <c r="G62" s="191"/>
      <c r="H62" s="191"/>
      <c r="I62" s="191"/>
    </row>
    <row r="63" spans="1:15" ht="29.4" x14ac:dyDescent="0.45">
      <c r="A63" s="56"/>
      <c r="B63" s="157" t="s">
        <v>115</v>
      </c>
      <c r="C63" s="172"/>
      <c r="D63" s="172"/>
      <c r="E63" s="172"/>
      <c r="F63" s="172"/>
      <c r="G63" s="172"/>
      <c r="H63" s="172"/>
      <c r="I63" s="172"/>
    </row>
    <row r="64" spans="1:15" ht="29.4" x14ac:dyDescent="0.45">
      <c r="A64" s="56"/>
      <c r="B64" s="172"/>
      <c r="C64" s="172"/>
      <c r="D64" s="172"/>
      <c r="E64" s="172"/>
      <c r="F64" s="172"/>
      <c r="G64" s="172"/>
      <c r="H64" s="172"/>
      <c r="I64" s="172"/>
    </row>
    <row r="65" spans="1:15" x14ac:dyDescent="0.25">
      <c r="A65" s="56"/>
      <c r="B65" s="56"/>
      <c r="C65" s="56"/>
      <c r="D65" s="56"/>
      <c r="E65" s="56"/>
      <c r="F65" s="56"/>
      <c r="G65" s="56"/>
      <c r="H65" s="56"/>
      <c r="I65" s="56"/>
    </row>
    <row r="66" spans="1:15" ht="15.6" x14ac:dyDescent="0.3">
      <c r="A66" s="56"/>
      <c r="B66" s="156" t="s">
        <v>112</v>
      </c>
      <c r="C66" s="151"/>
      <c r="D66" s="151"/>
      <c r="E66" s="159">
        <f>((H34-G27)+(300*1.15))/D16/(1-'Data to enter'!C13*1.15)</f>
        <v>533.07277194171456</v>
      </c>
      <c r="F66" s="151"/>
      <c r="G66" s="151" t="s">
        <v>26</v>
      </c>
      <c r="H66" s="151"/>
      <c r="I66" s="151"/>
      <c r="J66" s="160"/>
      <c r="K66" s="160"/>
      <c r="L66" s="160"/>
      <c r="M66" s="160"/>
      <c r="N66" s="160"/>
      <c r="O66" s="160"/>
    </row>
    <row r="67" spans="1:15" ht="15.6" x14ac:dyDescent="0.3">
      <c r="A67" s="56"/>
      <c r="B67" s="156"/>
      <c r="C67" s="151"/>
      <c r="D67" s="151"/>
      <c r="E67" s="161"/>
      <c r="F67" s="151"/>
      <c r="G67" s="151"/>
      <c r="H67" s="151"/>
      <c r="I67" s="151"/>
      <c r="J67" s="160"/>
      <c r="K67" s="160"/>
      <c r="L67" s="160"/>
      <c r="M67" s="160"/>
      <c r="N67" s="165"/>
      <c r="O67" s="160"/>
    </row>
    <row r="68" spans="1:15" ht="15.6" x14ac:dyDescent="0.3">
      <c r="A68" s="56"/>
      <c r="B68" s="156"/>
      <c r="C68" s="151"/>
      <c r="D68" s="151"/>
      <c r="E68" s="161" t="s">
        <v>121</v>
      </c>
      <c r="F68" s="151"/>
      <c r="G68" s="151"/>
      <c r="H68" s="151"/>
      <c r="I68" s="151"/>
      <c r="J68" s="160"/>
      <c r="K68" s="160"/>
      <c r="L68" s="160"/>
      <c r="M68" s="166" t="s">
        <v>121</v>
      </c>
      <c r="N68" s="165"/>
      <c r="O68" s="160"/>
    </row>
    <row r="69" spans="1:15" ht="15.6" x14ac:dyDescent="0.3">
      <c r="A69" s="57"/>
      <c r="B69" s="57"/>
      <c r="C69" s="57"/>
      <c r="D69" s="57"/>
      <c r="E69" s="158" t="s">
        <v>117</v>
      </c>
      <c r="F69" s="57"/>
      <c r="G69" s="57"/>
      <c r="H69" s="57"/>
      <c r="I69" s="57"/>
      <c r="J69" s="107" t="s">
        <v>116</v>
      </c>
      <c r="K69" s="160"/>
      <c r="L69" s="160"/>
      <c r="M69" s="107" t="s">
        <v>118</v>
      </c>
      <c r="N69" s="160"/>
      <c r="O69" s="160"/>
    </row>
    <row r="70" spans="1:15" ht="15" x14ac:dyDescent="0.25">
      <c r="A70" s="57"/>
      <c r="B70" s="60" t="s">
        <v>113</v>
      </c>
      <c r="C70" s="57"/>
      <c r="D70" s="57"/>
      <c r="E70" s="111">
        <f>$H$36+$G$26-(J70*12)</f>
        <v>-15918.706521462358</v>
      </c>
      <c r="F70" s="57"/>
      <c r="G70" s="57">
        <v>30</v>
      </c>
      <c r="H70" s="57" t="s">
        <v>114</v>
      </c>
      <c r="I70" s="57"/>
      <c r="J70" s="162">
        <f>PMT($E$26/12,G70*12,$E$12)*-1</f>
        <v>3001.9155434551967</v>
      </c>
      <c r="K70" s="160"/>
      <c r="L70" s="160"/>
      <c r="M70" s="163"/>
      <c r="N70" s="163">
        <f>(($H$34-$G$26-$G$27+J70*12)+(300*1.15))/$D$16/(1-'Data to enter'!$C$13*1.15)</f>
        <v>917.14644445659007</v>
      </c>
      <c r="O70" s="160"/>
    </row>
    <row r="71" spans="1:15" ht="15" x14ac:dyDescent="0.25">
      <c r="A71" s="57"/>
      <c r="B71" s="60"/>
      <c r="C71" s="57"/>
      <c r="D71" s="57"/>
      <c r="E71" s="111">
        <f t="shared" ref="E71:E72" si="2">$H$36+$G$26-(J71*12)</f>
        <v>-20964.214350027112</v>
      </c>
      <c r="F71" s="57"/>
      <c r="G71" s="57">
        <v>25</v>
      </c>
      <c r="H71" s="57" t="s">
        <v>114</v>
      </c>
      <c r="I71" s="57"/>
      <c r="J71" s="162">
        <f t="shared" ref="J71:J72" si="3">PMT($E$26/12,G71*12,$E$12)*-1</f>
        <v>3422.3745291689261</v>
      </c>
      <c r="K71" s="160"/>
      <c r="L71" s="160"/>
      <c r="M71" s="163"/>
      <c r="N71" s="163">
        <f>(($H$34-$G$26-$G$27+J71*12)+(300*1.15))/$D$16/(1-'Data to enter'!$C$13*1.15)</f>
        <v>1024.0065729843084</v>
      </c>
      <c r="O71" s="160"/>
    </row>
    <row r="72" spans="1:15" ht="15" x14ac:dyDescent="0.25">
      <c r="A72" s="57"/>
      <c r="B72" s="57"/>
      <c r="C72" s="57"/>
      <c r="D72" s="57"/>
      <c r="E72" s="111">
        <f t="shared" si="2"/>
        <v>-28614.985923995751</v>
      </c>
      <c r="F72" s="57"/>
      <c r="G72" s="57">
        <v>20</v>
      </c>
      <c r="H72" s="57" t="s">
        <v>114</v>
      </c>
      <c r="I72" s="57"/>
      <c r="J72" s="162">
        <f t="shared" si="3"/>
        <v>4059.9388269996457</v>
      </c>
      <c r="K72" s="160"/>
      <c r="L72" s="160"/>
      <c r="M72" s="163"/>
      <c r="N72" s="163">
        <f>(($H$34-$G$26-$G$27+J72*12)+(300*1.15))/$D$16/(1-'Data to enter'!$C$13*1.15)</f>
        <v>1186.0442630463349</v>
      </c>
      <c r="O72" s="160"/>
    </row>
    <row r="73" spans="1:15" ht="15" x14ac:dyDescent="0.25">
      <c r="A73" s="57"/>
      <c r="B73" s="57"/>
      <c r="C73" s="57"/>
      <c r="D73" s="57"/>
      <c r="E73" s="57"/>
      <c r="F73" s="57"/>
      <c r="G73" s="57"/>
      <c r="H73" s="57"/>
      <c r="I73" s="57"/>
    </row>
    <row r="74" spans="1:15" ht="15" x14ac:dyDescent="0.25">
      <c r="A74" s="57"/>
      <c r="B74" s="57"/>
      <c r="C74" s="57"/>
      <c r="D74" s="57"/>
      <c r="E74" s="57"/>
      <c r="F74" s="57"/>
      <c r="G74" s="57"/>
      <c r="H74" s="57"/>
      <c r="I74" s="57"/>
    </row>
    <row r="75" spans="1:15" ht="15.6" x14ac:dyDescent="0.3">
      <c r="A75" s="56"/>
      <c r="B75" s="156"/>
      <c r="C75" s="151"/>
      <c r="D75" s="151"/>
      <c r="E75" s="161" t="s">
        <v>122</v>
      </c>
      <c r="F75" s="151"/>
      <c r="G75" s="151"/>
      <c r="H75" s="151"/>
      <c r="I75" s="57"/>
      <c r="J75" s="166"/>
    </row>
    <row r="76" spans="1:15" ht="15.6" x14ac:dyDescent="0.3">
      <c r="A76" s="57"/>
      <c r="B76" s="57"/>
      <c r="C76" s="57"/>
      <c r="D76" s="57"/>
      <c r="E76" s="158" t="s">
        <v>117</v>
      </c>
      <c r="F76" s="57"/>
      <c r="G76" s="57"/>
      <c r="H76" s="57"/>
      <c r="I76" s="57"/>
      <c r="J76" s="107"/>
      <c r="K76" s="160"/>
      <c r="L76" s="160"/>
    </row>
    <row r="77" spans="1:15" ht="15" x14ac:dyDescent="0.25">
      <c r="A77" s="57"/>
      <c r="B77" s="60" t="s">
        <v>113</v>
      </c>
      <c r="C77" s="57"/>
      <c r="D77" s="57"/>
      <c r="E77" s="111">
        <f>E70+$H$44</f>
        <v>-15918.706521462358</v>
      </c>
      <c r="F77" s="57"/>
      <c r="G77" s="57">
        <v>30</v>
      </c>
      <c r="H77" s="57" t="s">
        <v>114</v>
      </c>
      <c r="I77" s="57"/>
      <c r="J77" s="163"/>
      <c r="K77" s="163"/>
      <c r="L77" s="160"/>
    </row>
    <row r="78" spans="1:15" ht="15" x14ac:dyDescent="0.25">
      <c r="A78" s="57"/>
      <c r="B78" s="60"/>
      <c r="C78" s="57"/>
      <c r="D78" s="57"/>
      <c r="E78" s="111">
        <f t="shared" ref="E78:E79" si="4">E71+$H$44</f>
        <v>-20964.214350027112</v>
      </c>
      <c r="F78" s="57"/>
      <c r="G78" s="57">
        <v>25</v>
      </c>
      <c r="H78" s="57" t="s">
        <v>114</v>
      </c>
      <c r="I78" s="57"/>
      <c r="J78" s="163"/>
      <c r="K78" s="163"/>
      <c r="L78" s="160"/>
    </row>
    <row r="79" spans="1:15" ht="15" x14ac:dyDescent="0.25">
      <c r="A79" s="57"/>
      <c r="B79" s="57"/>
      <c r="C79" s="57"/>
      <c r="D79" s="57"/>
      <c r="E79" s="111">
        <f t="shared" si="4"/>
        <v>-28614.985923995751</v>
      </c>
      <c r="F79" s="57"/>
      <c r="G79" s="57">
        <v>20</v>
      </c>
      <c r="H79" s="57" t="s">
        <v>114</v>
      </c>
      <c r="I79" s="57"/>
      <c r="J79" s="163"/>
      <c r="K79" s="163"/>
      <c r="L79" s="160"/>
    </row>
    <row r="80" spans="1:15" ht="15" x14ac:dyDescent="0.25">
      <c r="A80" s="57"/>
      <c r="B80" s="57"/>
      <c r="C80" s="57"/>
      <c r="D80" s="57"/>
      <c r="E80" s="57"/>
      <c r="F80" s="57"/>
      <c r="G80" s="57"/>
      <c r="H80" s="57"/>
      <c r="I80" s="57"/>
    </row>
    <row r="81" spans="1:9" ht="15" x14ac:dyDescent="0.25">
      <c r="A81" s="57"/>
      <c r="B81" s="57"/>
      <c r="C81" s="57"/>
      <c r="D81" s="57"/>
      <c r="E81" s="57"/>
      <c r="F81" s="57"/>
      <c r="G81" s="57"/>
      <c r="H81" s="57"/>
      <c r="I81" s="57"/>
    </row>
    <row r="82" spans="1:9" ht="15" x14ac:dyDescent="0.25">
      <c r="A82" s="57"/>
      <c r="B82" s="57"/>
      <c r="C82" s="57"/>
      <c r="D82" s="57"/>
      <c r="E82" s="57"/>
      <c r="F82" s="57"/>
      <c r="G82" s="57"/>
      <c r="H82" s="57"/>
      <c r="I82" s="57"/>
    </row>
    <row r="83" spans="1:9" ht="15" x14ac:dyDescent="0.25">
      <c r="A83" s="57"/>
      <c r="B83" s="57"/>
      <c r="C83" s="57"/>
      <c r="D83" s="57"/>
      <c r="E83" s="57"/>
      <c r="F83" s="57"/>
      <c r="G83" s="57"/>
      <c r="H83" s="57"/>
      <c r="I83" s="57"/>
    </row>
    <row r="84" spans="1:9" ht="15" x14ac:dyDescent="0.25">
      <c r="A84" s="57"/>
      <c r="B84" s="57"/>
      <c r="C84" s="57"/>
      <c r="D84" s="57"/>
      <c r="E84" s="57"/>
      <c r="F84" s="57"/>
      <c r="G84" s="57"/>
      <c r="H84" s="57"/>
      <c r="I84" s="57"/>
    </row>
    <row r="85" spans="1:9" ht="15" x14ac:dyDescent="0.25">
      <c r="A85" s="57"/>
      <c r="B85" s="57"/>
      <c r="C85" s="57"/>
      <c r="D85" s="57"/>
      <c r="E85" s="57"/>
      <c r="F85" s="57"/>
      <c r="G85" s="57"/>
      <c r="H85" s="57"/>
      <c r="I85" s="57"/>
    </row>
    <row r="86" spans="1:9" ht="15" x14ac:dyDescent="0.25">
      <c r="A86" s="57"/>
      <c r="B86" s="57"/>
      <c r="C86" s="57"/>
      <c r="D86" s="57"/>
      <c r="E86" s="57"/>
      <c r="F86" s="57"/>
      <c r="G86" s="57"/>
      <c r="H86" s="57"/>
      <c r="I86" s="57"/>
    </row>
    <row r="87" spans="1:9" ht="15" x14ac:dyDescent="0.25">
      <c r="A87" s="57"/>
      <c r="B87" s="57"/>
      <c r="C87" s="57"/>
      <c r="D87" s="57"/>
      <c r="E87" s="57"/>
      <c r="F87" s="57"/>
      <c r="G87" s="57"/>
      <c r="H87" s="57"/>
      <c r="I87" s="57"/>
    </row>
    <row r="88" spans="1:9" ht="15" x14ac:dyDescent="0.25">
      <c r="A88" s="57"/>
      <c r="B88" s="57"/>
      <c r="C88" s="57"/>
      <c r="D88" s="57"/>
      <c r="E88" s="57"/>
      <c r="F88" s="57"/>
      <c r="G88" s="57"/>
      <c r="H88" s="75"/>
      <c r="I88" s="57"/>
    </row>
    <row r="89" spans="1:9" ht="15" x14ac:dyDescent="0.25">
      <c r="A89" s="57"/>
      <c r="B89" s="57"/>
      <c r="C89" s="57"/>
      <c r="D89" s="57"/>
      <c r="E89" s="57"/>
      <c r="F89" s="57"/>
      <c r="G89" s="57"/>
      <c r="H89" s="57"/>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57"/>
      <c r="C93" s="57"/>
      <c r="D93" s="57"/>
      <c r="E93" s="57"/>
      <c r="F93" s="57"/>
      <c r="G93" s="57"/>
      <c r="H93" s="57"/>
      <c r="I93" s="57"/>
    </row>
    <row r="94" spans="1:9" ht="15" x14ac:dyDescent="0.25">
      <c r="A94" s="57"/>
      <c r="B94" s="72"/>
      <c r="C94" s="72"/>
      <c r="D94" s="72"/>
      <c r="E94" s="72"/>
      <c r="F94" s="72"/>
      <c r="G94" s="72"/>
      <c r="H94" s="72"/>
      <c r="I94" s="72"/>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72"/>
      <c r="C97" s="72"/>
      <c r="D97" s="72"/>
      <c r="E97" s="72"/>
      <c r="F97" s="72"/>
      <c r="G97" s="72"/>
      <c r="H97" s="72"/>
      <c r="I97" s="72"/>
    </row>
    <row r="98" spans="1:9" ht="15" x14ac:dyDescent="0.25">
      <c r="A98" s="57"/>
      <c r="B98" s="82"/>
      <c r="C98" s="82"/>
      <c r="D98" s="82"/>
      <c r="E98" s="82"/>
      <c r="F98" s="82"/>
      <c r="G98" s="82"/>
      <c r="H98" s="57"/>
      <c r="I98" s="57"/>
    </row>
    <row r="99" spans="1:9" ht="15" x14ac:dyDescent="0.25">
      <c r="B99" s="83"/>
      <c r="C99" s="83"/>
      <c r="D99" s="83"/>
      <c r="E99" s="83"/>
      <c r="F99" s="84"/>
      <c r="G99" s="83"/>
    </row>
  </sheetData>
  <sheetProtection algorithmName="SHA-512" hashValue="1bGQclLCbmMLHGr7bav9TIagACqFXl669RLJ4S9zTqybMv6oHfcLhX9MI0fgPsVGgXPx7tSmUy5fqXDW5bhEpg==" saltValue="5bttnr8M5KLCE2CWFWCN/w==" spinCount="100000" sheet="1" selectLockedCells="1"/>
  <mergeCells count="3">
    <mergeCell ref="A1:G1"/>
    <mergeCell ref="F2:J2"/>
    <mergeCell ref="B62:I62"/>
  </mergeCells>
  <pageMargins left="0.75" right="0.75" top="1" bottom="1" header="0.5" footer="0.5"/>
  <pageSetup paperSize="9" scale="79" orientation="portrait" r:id="rId1"/>
  <headerFooter alignWithMargins="0">
    <oddFooter>&amp;CThis is based on estimated costs and returns.</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8416-3AC4-4EF4-860E-75D8CF8F0E36}">
  <sheetPr codeName="Sheet6">
    <pageSetUpPr fitToPage="1"/>
  </sheetPr>
  <dimension ref="A1:O99"/>
  <sheetViews>
    <sheetView zoomScale="120" zoomScaleNormal="120" workbookViewId="0">
      <selection activeCell="G28" sqref="G28"/>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6384" width="9.109375" style="54"/>
  </cols>
  <sheetData>
    <row r="1" spans="1:10" ht="55.5" customHeight="1" x14ac:dyDescent="0.25">
      <c r="A1" s="190"/>
      <c r="B1" s="190"/>
      <c r="C1" s="190"/>
      <c r="D1" s="190"/>
      <c r="E1" s="190"/>
      <c r="F1" s="190"/>
      <c r="G1" s="190"/>
    </row>
    <row r="2" spans="1:10" ht="22.8" x14ac:dyDescent="0.4">
      <c r="B2" s="55" t="s">
        <v>24</v>
      </c>
      <c r="F2" s="192" t="s">
        <v>139</v>
      </c>
      <c r="G2" s="193"/>
      <c r="H2" s="193"/>
      <c r="I2" s="193"/>
      <c r="J2" s="193"/>
    </row>
    <row r="3" spans="1:10" ht="15.6" x14ac:dyDescent="0.3">
      <c r="J3" s="107" t="s">
        <v>96</v>
      </c>
    </row>
    <row r="4" spans="1:10" x14ac:dyDescent="0.25">
      <c r="A4" s="56"/>
      <c r="B4" s="56"/>
      <c r="C4" s="56"/>
      <c r="D4" s="56"/>
      <c r="E4" s="56"/>
      <c r="F4" s="56"/>
      <c r="G4" s="56"/>
      <c r="H4" s="56"/>
      <c r="I4" s="56"/>
    </row>
    <row r="5" spans="1:10" ht="1.5" customHeight="1" x14ac:dyDescent="0.25">
      <c r="A5" s="56"/>
      <c r="B5" s="57"/>
      <c r="C5" s="56"/>
      <c r="D5" s="58"/>
      <c r="E5" s="56"/>
      <c r="F5" s="56"/>
      <c r="G5" s="56"/>
      <c r="H5" s="56"/>
      <c r="I5" s="56"/>
    </row>
    <row r="6" spans="1:10" ht="15.6" x14ac:dyDescent="0.3">
      <c r="A6" s="57"/>
      <c r="B6" s="57" t="s">
        <v>21</v>
      </c>
      <c r="C6" s="57"/>
      <c r="D6" s="45">
        <f>333000+33000</f>
        <v>366000</v>
      </c>
      <c r="E6" s="58"/>
      <c r="F6" s="57"/>
      <c r="G6" s="57"/>
      <c r="H6" s="57"/>
      <c r="I6" s="57"/>
      <c r="J6" s="106">
        <f>'p3 10 year'!P6</f>
        <v>645086.61356658768</v>
      </c>
    </row>
    <row r="7" spans="1:10" ht="15" x14ac:dyDescent="0.25">
      <c r="A7" s="57"/>
      <c r="B7" s="57" t="s">
        <v>92</v>
      </c>
      <c r="C7" s="57"/>
      <c r="D7" s="45">
        <f>1500+160+500+500</f>
        <v>2660</v>
      </c>
      <c r="E7" s="58"/>
      <c r="F7" s="57"/>
      <c r="G7" s="57"/>
      <c r="H7" s="57"/>
      <c r="I7" s="57"/>
    </row>
    <row r="8" spans="1:10" ht="15" x14ac:dyDescent="0.25">
      <c r="A8" s="57"/>
      <c r="B8" s="57" t="s">
        <v>93</v>
      </c>
      <c r="C8" s="57"/>
      <c r="D8" s="45">
        <v>1500</v>
      </c>
      <c r="E8" s="58"/>
      <c r="F8" s="57"/>
      <c r="G8" s="57"/>
      <c r="H8" s="57"/>
      <c r="I8" s="57"/>
    </row>
    <row r="9" spans="1:10" ht="15" x14ac:dyDescent="0.25">
      <c r="A9" s="57"/>
      <c r="B9" s="57"/>
      <c r="C9" s="57"/>
      <c r="D9" s="58"/>
      <c r="E9" s="59">
        <f>D6+D7-D8</f>
        <v>367160</v>
      </c>
      <c r="F9" s="57"/>
      <c r="G9" s="57"/>
      <c r="H9" s="57"/>
      <c r="I9" s="57"/>
    </row>
    <row r="10" spans="1:10" ht="15" x14ac:dyDescent="0.25">
      <c r="A10" s="57"/>
      <c r="B10" s="57" t="s">
        <v>94</v>
      </c>
      <c r="C10" s="57"/>
      <c r="D10" s="58"/>
      <c r="E10" s="45"/>
      <c r="F10" s="57"/>
      <c r="G10" s="57"/>
      <c r="H10" s="57"/>
      <c r="I10" s="57"/>
    </row>
    <row r="11" spans="1:10" ht="15" x14ac:dyDescent="0.25">
      <c r="A11" s="57"/>
      <c r="B11" s="57"/>
      <c r="C11" s="57"/>
      <c r="D11" s="58"/>
      <c r="E11" s="58"/>
      <c r="F11" s="57"/>
      <c r="G11" s="57"/>
      <c r="H11" s="57"/>
      <c r="I11" s="57"/>
    </row>
    <row r="12" spans="1:10" ht="15" x14ac:dyDescent="0.25">
      <c r="A12" s="57"/>
      <c r="B12" s="60" t="s">
        <v>9</v>
      </c>
      <c r="C12" s="57"/>
      <c r="D12" s="58"/>
      <c r="E12" s="59">
        <f>E9-E10</f>
        <v>367160</v>
      </c>
      <c r="F12" s="57"/>
      <c r="G12" s="57"/>
      <c r="H12" s="57"/>
      <c r="I12" s="57"/>
    </row>
    <row r="13" spans="1:10" ht="8.25" customHeight="1" x14ac:dyDescent="0.25">
      <c r="A13" s="57"/>
      <c r="B13" s="57"/>
      <c r="C13" s="57"/>
      <c r="D13" s="58"/>
      <c r="E13" s="58"/>
      <c r="F13" s="57"/>
      <c r="G13" s="57"/>
      <c r="H13" s="57"/>
      <c r="I13" s="57"/>
    </row>
    <row r="14" spans="1:10" ht="17.399999999999999" x14ac:dyDescent="0.3">
      <c r="A14" s="57"/>
      <c r="B14" s="61" t="s">
        <v>0</v>
      </c>
      <c r="C14" s="57"/>
      <c r="D14" s="57"/>
      <c r="E14" s="57"/>
      <c r="F14" s="57"/>
      <c r="G14" s="57"/>
      <c r="H14" s="57"/>
      <c r="I14" s="57"/>
    </row>
    <row r="15" spans="1:10" ht="8.25" customHeight="1" x14ac:dyDescent="0.25">
      <c r="A15" s="57"/>
      <c r="B15" s="57"/>
      <c r="C15" s="57"/>
      <c r="D15" s="57"/>
      <c r="E15" s="57"/>
      <c r="F15" s="57"/>
      <c r="G15" s="57"/>
      <c r="H15" s="57"/>
      <c r="I15" s="57"/>
    </row>
    <row r="16" spans="1:10" ht="15.6" x14ac:dyDescent="0.3">
      <c r="A16" s="57"/>
      <c r="B16" s="57" t="s">
        <v>27</v>
      </c>
      <c r="C16" s="57" t="s">
        <v>25</v>
      </c>
      <c r="D16" s="46">
        <v>52</v>
      </c>
      <c r="E16" s="57"/>
      <c r="F16" s="57"/>
      <c r="G16" s="57"/>
      <c r="H16" s="108">
        <f>D16*D17</f>
        <v>24440</v>
      </c>
      <c r="I16" s="57"/>
      <c r="J16" s="106">
        <f>'p3 10 year'!P14</f>
        <v>31888.656612786745</v>
      </c>
    </row>
    <row r="17" spans="1:10" ht="15" x14ac:dyDescent="0.25">
      <c r="A17" s="57"/>
      <c r="B17" s="57"/>
      <c r="C17" s="57" t="s">
        <v>26</v>
      </c>
      <c r="D17" s="110">
        <v>470</v>
      </c>
      <c r="E17" s="57"/>
      <c r="F17" s="57"/>
      <c r="G17" s="57"/>
      <c r="H17" s="57"/>
      <c r="I17" s="57"/>
    </row>
    <row r="18" spans="1:10" ht="15" x14ac:dyDescent="0.25">
      <c r="A18" s="57"/>
      <c r="B18" s="57"/>
      <c r="C18" s="57"/>
      <c r="D18" s="57" t="s">
        <v>11</v>
      </c>
      <c r="E18" s="57"/>
      <c r="F18" s="57"/>
      <c r="G18" s="62">
        <f>H16/E9</f>
        <v>6.6564985292515519E-2</v>
      </c>
      <c r="H18" s="63"/>
      <c r="I18" s="57"/>
    </row>
    <row r="19" spans="1:10" ht="6.75" customHeight="1" x14ac:dyDescent="0.25">
      <c r="A19" s="57"/>
      <c r="B19" s="57"/>
      <c r="C19" s="57"/>
      <c r="D19" s="57"/>
      <c r="E19" s="57"/>
      <c r="F19" s="57"/>
      <c r="G19" s="57"/>
      <c r="H19" s="57"/>
      <c r="I19" s="57"/>
    </row>
    <row r="20" spans="1:10" ht="24" customHeight="1" x14ac:dyDescent="0.3">
      <c r="A20" s="57"/>
      <c r="B20" s="64" t="s">
        <v>1</v>
      </c>
      <c r="C20" s="65"/>
      <c r="D20" s="57"/>
      <c r="E20" s="57"/>
      <c r="F20" s="57"/>
      <c r="G20" s="57"/>
      <c r="H20" s="57"/>
      <c r="I20" s="57"/>
    </row>
    <row r="21" spans="1:10" ht="15" x14ac:dyDescent="0.25">
      <c r="A21" s="57"/>
      <c r="B21" s="57"/>
      <c r="C21" s="57"/>
      <c r="D21" s="57"/>
      <c r="E21" s="57"/>
      <c r="F21" s="57"/>
      <c r="G21" s="57"/>
      <c r="H21" s="57"/>
      <c r="I21" s="57"/>
    </row>
    <row r="22" spans="1:10" ht="15" x14ac:dyDescent="0.25">
      <c r="A22" s="57"/>
      <c r="B22" s="57" t="s">
        <v>7</v>
      </c>
      <c r="C22" s="57"/>
      <c r="D22" s="57"/>
      <c r="E22" s="57"/>
      <c r="F22" s="57"/>
      <c r="G22" s="110">
        <v>1700</v>
      </c>
      <c r="H22" s="111"/>
      <c r="I22" s="57"/>
    </row>
    <row r="23" spans="1:10" ht="15" x14ac:dyDescent="0.25">
      <c r="A23" s="57"/>
      <c r="B23" s="57" t="s">
        <v>8</v>
      </c>
      <c r="C23" s="57"/>
      <c r="D23" s="57"/>
      <c r="E23" s="57"/>
      <c r="F23" s="57"/>
      <c r="G23" s="110">
        <v>50</v>
      </c>
      <c r="H23" s="111"/>
      <c r="I23" s="57"/>
    </row>
    <row r="24" spans="1:10" ht="15" x14ac:dyDescent="0.25">
      <c r="A24" s="57"/>
      <c r="B24" s="57" t="s">
        <v>14</v>
      </c>
      <c r="C24" s="57"/>
      <c r="D24" s="57"/>
      <c r="E24" s="57"/>
      <c r="F24" s="57"/>
      <c r="G24" s="110">
        <v>0</v>
      </c>
      <c r="H24" s="111"/>
      <c r="I24" s="57"/>
    </row>
    <row r="25" spans="1:10" ht="15" x14ac:dyDescent="0.25">
      <c r="A25" s="57"/>
      <c r="B25" s="57" t="s">
        <v>2</v>
      </c>
      <c r="C25" s="57"/>
      <c r="D25" s="57"/>
      <c r="E25" s="57"/>
      <c r="F25" s="57"/>
      <c r="G25" s="110">
        <v>1000</v>
      </c>
      <c r="H25" s="111"/>
      <c r="I25" s="57"/>
    </row>
    <row r="26" spans="1:10" ht="15.6" x14ac:dyDescent="0.3">
      <c r="A26" s="57"/>
      <c r="B26" s="57" t="s">
        <v>28</v>
      </c>
      <c r="C26" s="57"/>
      <c r="D26" s="57" t="s">
        <v>29</v>
      </c>
      <c r="E26" s="47">
        <v>2.29E-2</v>
      </c>
      <c r="F26" s="57"/>
      <c r="G26" s="66">
        <f>E12*E26</f>
        <v>8407.9639999999999</v>
      </c>
      <c r="H26" s="111"/>
      <c r="I26" s="98"/>
      <c r="J26" s="106">
        <f>'p3 10 year'!P24</f>
        <v>15145.35</v>
      </c>
    </row>
    <row r="27" spans="1:10" ht="15" x14ac:dyDescent="0.25">
      <c r="A27" s="57"/>
      <c r="B27" s="57" t="s">
        <v>95</v>
      </c>
      <c r="C27" s="57"/>
      <c r="D27" s="57"/>
      <c r="E27" s="57"/>
      <c r="F27" s="57"/>
      <c r="G27" s="85">
        <f>(H16*'Data to enter'!C13+300)*1.15</f>
        <v>2593.4799999999996</v>
      </c>
      <c r="H27" s="111"/>
      <c r="I27" s="57"/>
    </row>
    <row r="28" spans="1:10" ht="15" x14ac:dyDescent="0.25">
      <c r="A28" s="57"/>
      <c r="B28" s="57" t="s">
        <v>3</v>
      </c>
      <c r="C28" s="57"/>
      <c r="D28" s="57"/>
      <c r="E28" s="57"/>
      <c r="F28" s="57"/>
      <c r="G28" s="110">
        <v>2000</v>
      </c>
      <c r="H28" s="111"/>
      <c r="I28" s="57"/>
    </row>
    <row r="29" spans="1:10" ht="15" x14ac:dyDescent="0.25">
      <c r="A29" s="57"/>
      <c r="B29" s="57" t="s">
        <v>6</v>
      </c>
      <c r="C29" s="57"/>
      <c r="D29" s="57"/>
      <c r="E29" s="57"/>
      <c r="F29" s="57"/>
      <c r="G29" s="110">
        <v>1500</v>
      </c>
      <c r="H29" s="111"/>
      <c r="I29" s="57"/>
    </row>
    <row r="30" spans="1:10" ht="15" x14ac:dyDescent="0.25">
      <c r="A30" s="57"/>
      <c r="B30" s="57" t="s">
        <v>22</v>
      </c>
      <c r="C30" s="57"/>
      <c r="D30" s="57"/>
      <c r="E30" s="57"/>
      <c r="F30" s="57"/>
      <c r="G30" s="110">
        <v>100</v>
      </c>
      <c r="H30" s="111"/>
      <c r="I30" s="57"/>
    </row>
    <row r="31" spans="1:10" ht="15" x14ac:dyDescent="0.25">
      <c r="A31" s="57"/>
      <c r="B31" s="57" t="s">
        <v>23</v>
      </c>
      <c r="C31" s="57"/>
      <c r="D31" s="57"/>
      <c r="E31" s="57"/>
      <c r="F31" s="57"/>
      <c r="G31" s="110">
        <v>300</v>
      </c>
      <c r="H31" s="111"/>
      <c r="I31" s="57"/>
      <c r="J31" s="67"/>
    </row>
    <row r="32" spans="1:10" ht="15" x14ac:dyDescent="0.25">
      <c r="A32" s="57"/>
      <c r="B32" s="57" t="s">
        <v>5</v>
      </c>
      <c r="C32" s="57"/>
      <c r="D32" s="57"/>
      <c r="E32" s="57"/>
      <c r="F32" s="57"/>
      <c r="G32" s="112">
        <v>86</v>
      </c>
      <c r="H32" s="111"/>
      <c r="I32" s="57"/>
    </row>
    <row r="33" spans="1:12" ht="15" x14ac:dyDescent="0.25">
      <c r="A33" s="57"/>
      <c r="B33" s="57"/>
      <c r="C33" s="57"/>
      <c r="D33" s="57"/>
      <c r="E33" s="57"/>
      <c r="F33" s="57"/>
      <c r="G33" s="111"/>
      <c r="H33" s="111"/>
      <c r="I33" s="57"/>
    </row>
    <row r="34" spans="1:12" ht="18" thickBot="1" x14ac:dyDescent="0.35">
      <c r="A34" s="57"/>
      <c r="B34" s="64" t="s">
        <v>4</v>
      </c>
      <c r="C34" s="64"/>
      <c r="D34" s="57"/>
      <c r="E34" s="57"/>
      <c r="F34" s="57"/>
      <c r="G34" s="111"/>
      <c r="H34" s="113">
        <f>SUM(G22:G32)</f>
        <v>17737.444</v>
      </c>
      <c r="I34" s="57"/>
      <c r="J34" s="106">
        <f>'p3 10 year'!P32</f>
        <v>27318.205323071266</v>
      </c>
    </row>
    <row r="35" spans="1:12" ht="15" x14ac:dyDescent="0.25">
      <c r="A35" s="57"/>
      <c r="B35" s="57"/>
      <c r="C35" s="57"/>
      <c r="D35" s="57"/>
      <c r="E35" s="57"/>
      <c r="F35" s="57"/>
      <c r="G35" s="111"/>
      <c r="H35" s="111"/>
      <c r="I35" s="57"/>
      <c r="J35" s="95"/>
    </row>
    <row r="36" spans="1:12" ht="15.6" x14ac:dyDescent="0.3">
      <c r="A36" s="57"/>
      <c r="B36" s="68" t="s">
        <v>10</v>
      </c>
      <c r="C36" s="68"/>
      <c r="D36" s="68"/>
      <c r="E36" s="57"/>
      <c r="F36" s="57"/>
      <c r="G36" s="111"/>
      <c r="H36" s="66">
        <f>H16-H34</f>
        <v>6702.5560000000005</v>
      </c>
      <c r="I36" s="57"/>
      <c r="J36" s="106">
        <f>J16-J34</f>
        <v>4570.4512897154782</v>
      </c>
    </row>
    <row r="37" spans="1:12" ht="15" x14ac:dyDescent="0.25">
      <c r="A37" s="57"/>
      <c r="B37" s="57"/>
      <c r="C37" s="57"/>
      <c r="D37" s="57"/>
      <c r="E37" s="57"/>
      <c r="F37" s="57"/>
      <c r="G37" s="111"/>
      <c r="H37" s="111"/>
      <c r="I37" s="57"/>
      <c r="J37" s="95"/>
    </row>
    <row r="38" spans="1:12" ht="15" x14ac:dyDescent="0.25">
      <c r="A38" s="57"/>
      <c r="B38" s="60" t="s">
        <v>12</v>
      </c>
      <c r="C38" s="60"/>
      <c r="D38" s="57"/>
      <c r="E38" s="57" t="s">
        <v>15</v>
      </c>
      <c r="F38" s="57"/>
      <c r="G38" s="111"/>
      <c r="H38" s="66">
        <v>0</v>
      </c>
      <c r="I38" s="57"/>
      <c r="J38" s="95"/>
    </row>
    <row r="39" spans="1:12" ht="15.6" x14ac:dyDescent="0.3">
      <c r="A39" s="57"/>
      <c r="B39" s="57"/>
      <c r="C39" s="57"/>
      <c r="D39" s="57"/>
      <c r="E39" s="57" t="s">
        <v>16</v>
      </c>
      <c r="F39" s="57"/>
      <c r="G39" s="111"/>
      <c r="H39" s="110">
        <v>3500</v>
      </c>
      <c r="I39" s="57"/>
      <c r="J39" s="106">
        <f>'p3 10 year'!P37</f>
        <v>262.79640197753906</v>
      </c>
    </row>
    <row r="40" spans="1:12" ht="15" x14ac:dyDescent="0.25">
      <c r="A40" s="57"/>
      <c r="B40" s="57"/>
      <c r="C40" s="57"/>
      <c r="D40" s="57"/>
      <c r="E40" s="57"/>
      <c r="F40" s="57"/>
      <c r="G40" s="111"/>
      <c r="H40" s="111"/>
      <c r="I40" s="57"/>
      <c r="J40" s="95"/>
    </row>
    <row r="41" spans="1:12" ht="15" x14ac:dyDescent="0.25">
      <c r="A41" s="57"/>
      <c r="B41" s="57"/>
      <c r="C41" s="57"/>
      <c r="D41" s="57"/>
      <c r="E41" s="57"/>
      <c r="F41" s="57"/>
      <c r="G41" s="111"/>
      <c r="H41" s="111"/>
      <c r="I41" s="57"/>
      <c r="J41" s="95"/>
    </row>
    <row r="42" spans="1:12" ht="16.2" thickBot="1" x14ac:dyDescent="0.35">
      <c r="A42" s="57"/>
      <c r="B42" s="60" t="s">
        <v>13</v>
      </c>
      <c r="C42" s="60"/>
      <c r="D42" s="60"/>
      <c r="E42" s="60"/>
      <c r="F42" s="60"/>
      <c r="G42" s="66"/>
      <c r="H42" s="114">
        <f>H36-H38-H39-H40</f>
        <v>3202.5560000000005</v>
      </c>
      <c r="I42" s="57"/>
      <c r="J42" s="106">
        <f>J36-J39</f>
        <v>4307.6548877379391</v>
      </c>
    </row>
    <row r="43" spans="1:12" ht="15.6" thickTop="1" x14ac:dyDescent="0.25">
      <c r="A43" s="57"/>
      <c r="B43" s="60"/>
      <c r="C43" s="60"/>
      <c r="D43" s="60"/>
      <c r="E43" s="60"/>
      <c r="F43" s="60"/>
      <c r="G43" s="66"/>
      <c r="H43" s="66"/>
      <c r="I43" s="57"/>
      <c r="J43" s="95"/>
    </row>
    <row r="44" spans="1:12" ht="17.399999999999999" x14ac:dyDescent="0.3">
      <c r="A44" s="57"/>
      <c r="B44" s="70" t="s">
        <v>30</v>
      </c>
      <c r="C44" s="60"/>
      <c r="D44" s="60"/>
      <c r="E44" s="71"/>
      <c r="F44" s="60"/>
      <c r="G44" s="66"/>
      <c r="H44" s="66">
        <f>IF(H42&lt;0,0,-(H42*$G$45*$E$45)+-(H42*$G$46*$E$46))</f>
        <v>-1051.8795182000003</v>
      </c>
      <c r="I44" s="66"/>
      <c r="J44" s="66">
        <f t="shared" ref="J44" si="0">IF(J42&lt;0,0,-(J42*$G$45*$E$45)+-(J42*$G$46*$E$46))</f>
        <v>-1414.8492478775261</v>
      </c>
      <c r="L44" s="67" t="s">
        <v>86</v>
      </c>
    </row>
    <row r="45" spans="1:12" ht="15" x14ac:dyDescent="0.25">
      <c r="A45" s="57"/>
      <c r="B45" s="60"/>
      <c r="C45" s="60" t="s">
        <v>32</v>
      </c>
      <c r="D45" s="60" t="s">
        <v>31</v>
      </c>
      <c r="E45" s="47">
        <v>0.33</v>
      </c>
      <c r="F45" s="60" t="s">
        <v>33</v>
      </c>
      <c r="G45" s="48">
        <v>0.99</v>
      </c>
      <c r="H45" s="69"/>
      <c r="I45" s="57"/>
      <c r="J45" s="95"/>
      <c r="L45" s="67" t="s">
        <v>87</v>
      </c>
    </row>
    <row r="46" spans="1:12" ht="15" x14ac:dyDescent="0.25">
      <c r="A46" s="57"/>
      <c r="B46" s="60"/>
      <c r="C46" s="60" t="s">
        <v>34</v>
      </c>
      <c r="D46" s="60"/>
      <c r="E46" s="47">
        <v>0.17499999999999999</v>
      </c>
      <c r="F46" s="60"/>
      <c r="G46" s="48">
        <v>0.01</v>
      </c>
      <c r="H46" s="69"/>
      <c r="I46" s="57"/>
      <c r="J46" s="95"/>
      <c r="L46" s="67" t="s">
        <v>85</v>
      </c>
    </row>
    <row r="47" spans="1:12" ht="15" x14ac:dyDescent="0.25">
      <c r="A47" s="57"/>
      <c r="B47" s="72"/>
      <c r="C47" s="72"/>
      <c r="D47" s="72"/>
      <c r="E47" s="72"/>
      <c r="F47" s="72"/>
      <c r="G47" s="72"/>
      <c r="H47" s="72"/>
      <c r="I47" s="72"/>
      <c r="J47" s="95"/>
    </row>
    <row r="48" spans="1:12" ht="18" thickBot="1" x14ac:dyDescent="0.35">
      <c r="A48" s="57"/>
      <c r="B48" s="60" t="s">
        <v>36</v>
      </c>
      <c r="C48" s="72"/>
      <c r="D48" s="72"/>
      <c r="E48" s="72"/>
      <c r="F48" s="72"/>
      <c r="G48" s="72"/>
      <c r="H48" s="73">
        <f>H36+H44</f>
        <v>5650.6764818000001</v>
      </c>
      <c r="I48" s="74"/>
      <c r="J48" s="109">
        <f>J36+J44</f>
        <v>3155.6020418379521</v>
      </c>
    </row>
    <row r="49" spans="1:10" ht="15.6" thickTop="1" x14ac:dyDescent="0.25">
      <c r="A49" s="57"/>
      <c r="B49" s="57"/>
      <c r="C49" s="57"/>
      <c r="D49" s="57"/>
      <c r="E49" s="57"/>
      <c r="F49" s="57"/>
      <c r="G49" s="63"/>
      <c r="H49" s="57"/>
      <c r="I49" s="57"/>
    </row>
    <row r="50" spans="1:10" ht="15.6" x14ac:dyDescent="0.3">
      <c r="A50" s="57"/>
      <c r="B50" s="60" t="s">
        <v>17</v>
      </c>
      <c r="C50" s="57"/>
      <c r="D50" s="57"/>
      <c r="E50" s="57"/>
      <c r="F50" s="57"/>
      <c r="G50" s="63"/>
      <c r="H50" s="59">
        <f>H48/52</f>
        <v>108.66685541923077</v>
      </c>
      <c r="I50" s="58"/>
      <c r="J50" s="115">
        <f>J48/52</f>
        <v>60.684654650729847</v>
      </c>
    </row>
    <row r="51" spans="1:10" ht="15" x14ac:dyDescent="0.25">
      <c r="A51" s="57"/>
      <c r="B51" s="57"/>
      <c r="C51" s="57"/>
      <c r="D51" s="57"/>
      <c r="E51" s="57"/>
      <c r="F51" s="57"/>
      <c r="G51" s="63"/>
      <c r="H51" s="75"/>
      <c r="I51" s="57"/>
    </row>
    <row r="52" spans="1:10" ht="15" x14ac:dyDescent="0.25">
      <c r="A52" s="57"/>
      <c r="B52" s="57" t="s">
        <v>19</v>
      </c>
      <c r="C52" s="57"/>
      <c r="D52" s="57"/>
      <c r="E52" s="57"/>
      <c r="F52" s="57"/>
      <c r="G52" s="62" t="e">
        <f>H48/E10</f>
        <v>#DIV/0!</v>
      </c>
      <c r="H52" s="69" t="s">
        <v>18</v>
      </c>
      <c r="I52" s="57"/>
    </row>
    <row r="53" spans="1:10" ht="15" x14ac:dyDescent="0.25">
      <c r="A53" s="57"/>
      <c r="B53" s="57"/>
      <c r="C53" s="57"/>
      <c r="D53" s="57"/>
      <c r="E53" s="63"/>
      <c r="F53" s="57"/>
      <c r="G53" s="76"/>
      <c r="H53" s="57"/>
      <c r="I53" s="57"/>
    </row>
    <row r="54" spans="1:10" ht="15" x14ac:dyDescent="0.25">
      <c r="A54" s="57"/>
      <c r="B54" s="57" t="s">
        <v>35</v>
      </c>
      <c r="C54" s="57"/>
      <c r="D54" s="57"/>
      <c r="E54" s="47">
        <v>0.03</v>
      </c>
      <c r="F54" s="57"/>
      <c r="G54" s="63"/>
      <c r="H54" s="69">
        <f>E9*E54</f>
        <v>11014.8</v>
      </c>
      <c r="I54" s="57"/>
    </row>
    <row r="55" spans="1:10" ht="15" x14ac:dyDescent="0.25">
      <c r="A55" s="57"/>
      <c r="B55" s="57"/>
      <c r="C55" s="57"/>
      <c r="D55" s="57"/>
      <c r="E55" s="57"/>
      <c r="F55" s="57"/>
      <c r="G55" s="63"/>
      <c r="H55" s="75"/>
      <c r="I55" s="57"/>
    </row>
    <row r="56" spans="1:10" ht="15" x14ac:dyDescent="0.25">
      <c r="A56" s="57"/>
      <c r="B56" s="72" t="s">
        <v>20</v>
      </c>
      <c r="C56" s="72"/>
      <c r="D56" s="72"/>
      <c r="E56" s="72"/>
      <c r="F56" s="57"/>
      <c r="G56" s="63" t="e">
        <f>(H48+H54)/E10</f>
        <v>#DIV/0!</v>
      </c>
      <c r="H56" s="75" t="s">
        <v>18</v>
      </c>
      <c r="I56" s="57"/>
    </row>
    <row r="57" spans="1:10" ht="14.25" customHeight="1" x14ac:dyDescent="0.25">
      <c r="A57" s="57"/>
      <c r="B57" s="57"/>
      <c r="C57" s="57"/>
      <c r="D57" s="57"/>
      <c r="E57" s="57"/>
      <c r="F57" s="57"/>
      <c r="G57" s="63"/>
      <c r="H57" s="75"/>
      <c r="I57" s="57"/>
    </row>
    <row r="58" spans="1:10" ht="15" hidden="1" x14ac:dyDescent="0.25">
      <c r="A58" s="57"/>
      <c r="B58" s="77"/>
      <c r="C58" s="77"/>
      <c r="D58" s="77"/>
      <c r="E58" s="77"/>
      <c r="F58" s="77"/>
      <c r="G58" s="78"/>
      <c r="H58" s="77"/>
      <c r="I58" s="77"/>
      <c r="J58" s="79"/>
    </row>
    <row r="59" spans="1:10" hidden="1" x14ac:dyDescent="0.25">
      <c r="B59" s="79"/>
      <c r="C59" s="79"/>
      <c r="D59" s="79"/>
      <c r="E59" s="79"/>
      <c r="F59" s="79"/>
      <c r="G59" s="79"/>
      <c r="H59" s="79"/>
      <c r="I59" s="79"/>
      <c r="J59" s="79"/>
    </row>
    <row r="60" spans="1:10" hidden="1" x14ac:dyDescent="0.25">
      <c r="A60" s="56"/>
      <c r="B60" s="80"/>
      <c r="C60" s="81"/>
      <c r="D60" s="80"/>
      <c r="E60" s="80"/>
      <c r="F60" s="80"/>
      <c r="G60" s="80"/>
      <c r="H60" s="80"/>
      <c r="I60" s="80"/>
      <c r="J60" s="79"/>
    </row>
    <row r="61" spans="1:10" hidden="1" x14ac:dyDescent="0.25">
      <c r="A61" s="56"/>
      <c r="B61" s="56"/>
      <c r="C61" s="56"/>
      <c r="D61" s="56"/>
      <c r="E61" s="56"/>
      <c r="F61" s="56"/>
      <c r="G61" s="56"/>
      <c r="H61" s="56"/>
      <c r="I61" s="56"/>
    </row>
    <row r="62" spans="1:10" ht="29.4" x14ac:dyDescent="0.45">
      <c r="A62" s="56"/>
      <c r="B62" s="191"/>
      <c r="C62" s="191"/>
      <c r="D62" s="191"/>
      <c r="E62" s="191"/>
      <c r="F62" s="191"/>
      <c r="G62" s="191"/>
      <c r="H62" s="191"/>
      <c r="I62" s="191"/>
    </row>
    <row r="63" spans="1:10" ht="29.4" x14ac:dyDescent="0.45">
      <c r="A63" s="56"/>
      <c r="B63" s="157" t="s">
        <v>115</v>
      </c>
      <c r="C63" s="172"/>
      <c r="D63" s="172"/>
      <c r="E63" s="172"/>
      <c r="F63" s="172"/>
      <c r="G63" s="172"/>
      <c r="H63" s="172"/>
      <c r="I63" s="172"/>
    </row>
    <row r="64" spans="1:10" ht="29.4" x14ac:dyDescent="0.45">
      <c r="A64" s="56"/>
      <c r="B64" s="172"/>
      <c r="C64" s="172"/>
      <c r="D64" s="172"/>
      <c r="E64" s="172"/>
      <c r="F64" s="172"/>
      <c r="G64" s="172"/>
      <c r="H64" s="172"/>
      <c r="I64" s="172"/>
    </row>
    <row r="65" spans="1:15" x14ac:dyDescent="0.25">
      <c r="A65" s="56"/>
      <c r="B65" s="56"/>
      <c r="C65" s="56"/>
      <c r="D65" s="56"/>
      <c r="E65" s="56"/>
      <c r="F65" s="56"/>
      <c r="G65" s="56"/>
      <c r="H65" s="56"/>
      <c r="I65" s="56"/>
    </row>
    <row r="66" spans="1:15" ht="15.6" x14ac:dyDescent="0.3">
      <c r="A66" s="56"/>
      <c r="B66" s="156" t="s">
        <v>112</v>
      </c>
      <c r="C66" s="151"/>
      <c r="D66" s="151"/>
      <c r="E66" s="159">
        <f>((H34-G27)+(300*1.15))/D16/(1-'Data to enter'!C13*1.15)</f>
        <v>328.04481531684172</v>
      </c>
      <c r="F66" s="151"/>
      <c r="G66" s="151" t="s">
        <v>26</v>
      </c>
      <c r="H66" s="151"/>
      <c r="I66" s="151"/>
      <c r="J66" s="160"/>
      <c r="K66" s="160"/>
      <c r="L66" s="160"/>
      <c r="M66" s="160"/>
      <c r="N66" s="160"/>
      <c r="O66" s="160"/>
    </row>
    <row r="67" spans="1:15" ht="15.6" x14ac:dyDescent="0.3">
      <c r="A67" s="56"/>
      <c r="B67" s="156"/>
      <c r="C67" s="151"/>
      <c r="D67" s="151"/>
      <c r="E67" s="161"/>
      <c r="F67" s="151"/>
      <c r="G67" s="151"/>
      <c r="H67" s="151"/>
      <c r="I67" s="151"/>
      <c r="J67" s="160"/>
      <c r="K67" s="160"/>
      <c r="L67" s="160"/>
      <c r="M67" s="160"/>
      <c r="N67" s="165"/>
      <c r="O67" s="160"/>
    </row>
    <row r="68" spans="1:15" ht="15.6" x14ac:dyDescent="0.3">
      <c r="A68" s="56"/>
      <c r="B68" s="156"/>
      <c r="C68" s="151"/>
      <c r="D68" s="151"/>
      <c r="E68" s="161" t="s">
        <v>121</v>
      </c>
      <c r="F68" s="151"/>
      <c r="G68" s="151"/>
      <c r="H68" s="151"/>
      <c r="I68" s="151"/>
      <c r="J68" s="160"/>
      <c r="K68" s="160"/>
      <c r="L68" s="160"/>
      <c r="M68" s="166" t="s">
        <v>121</v>
      </c>
      <c r="N68" s="165"/>
      <c r="O68" s="160"/>
    </row>
    <row r="69" spans="1:15" ht="15.6" x14ac:dyDescent="0.3">
      <c r="A69" s="57"/>
      <c r="B69" s="57"/>
      <c r="C69" s="57"/>
      <c r="D69" s="57"/>
      <c r="E69" s="158" t="s">
        <v>117</v>
      </c>
      <c r="F69" s="57"/>
      <c r="G69" s="57"/>
      <c r="H69" s="57"/>
      <c r="I69" s="57"/>
      <c r="J69" s="107" t="s">
        <v>116</v>
      </c>
      <c r="K69" s="160"/>
      <c r="L69" s="160"/>
      <c r="M69" s="107" t="s">
        <v>118</v>
      </c>
      <c r="N69" s="160"/>
      <c r="O69" s="160"/>
    </row>
    <row r="70" spans="1:15" ht="15" x14ac:dyDescent="0.25">
      <c r="A70" s="57"/>
      <c r="B70" s="60" t="s">
        <v>113</v>
      </c>
      <c r="C70" s="57"/>
      <c r="D70" s="57"/>
      <c r="E70" s="111">
        <f>$H$36+$G$26-(J70*12)</f>
        <v>-1820.9661631677482</v>
      </c>
      <c r="F70" s="57"/>
      <c r="G70" s="57">
        <v>30</v>
      </c>
      <c r="H70" s="57" t="s">
        <v>114</v>
      </c>
      <c r="I70" s="57"/>
      <c r="J70" s="162">
        <f>PMT($E$26/12,G70*12,$E$12)*-1</f>
        <v>1410.9571802639791</v>
      </c>
      <c r="K70" s="160"/>
      <c r="L70" s="160"/>
      <c r="M70" s="163"/>
      <c r="N70" s="163">
        <f>(($H$34-$G$26-$G$27+J70*12)+(300*1.15))/$D$16/(1-'Data to enter'!$C$13*1.15)</f>
        <v>508.56671812876453</v>
      </c>
      <c r="O70" s="160"/>
    </row>
    <row r="71" spans="1:15" ht="15" x14ac:dyDescent="0.25">
      <c r="A71" s="57"/>
      <c r="B71" s="60"/>
      <c r="C71" s="57"/>
      <c r="D71" s="57"/>
      <c r="E71" s="111">
        <f t="shared" ref="E71:E72" si="1">$H$36+$G$26-(J71*12)</f>
        <v>-4192.450435705814</v>
      </c>
      <c r="F71" s="57"/>
      <c r="G71" s="57">
        <v>25</v>
      </c>
      <c r="H71" s="57" t="s">
        <v>114</v>
      </c>
      <c r="I71" s="57"/>
      <c r="J71" s="162">
        <f t="shared" ref="J71:J72" si="2">PMT($E$26/12,G71*12,$E$12)*-1</f>
        <v>1608.5808696421511</v>
      </c>
      <c r="K71" s="160"/>
      <c r="L71" s="160"/>
      <c r="M71" s="163"/>
      <c r="N71" s="163">
        <f>(($H$34-$G$26-$G$27+J71*12)+(300*1.15))/$D$16/(1-'Data to enter'!$C$13*1.15)</f>
        <v>558.79300312830003</v>
      </c>
      <c r="O71" s="160"/>
    </row>
    <row r="72" spans="1:15" ht="15" x14ac:dyDescent="0.25">
      <c r="A72" s="57"/>
      <c r="B72" s="57"/>
      <c r="C72" s="57"/>
      <c r="D72" s="57"/>
      <c r="E72" s="111">
        <f t="shared" si="1"/>
        <v>-7788.4580283863434</v>
      </c>
      <c r="F72" s="57"/>
      <c r="G72" s="57">
        <v>20</v>
      </c>
      <c r="H72" s="57" t="s">
        <v>114</v>
      </c>
      <c r="I72" s="57"/>
      <c r="J72" s="162">
        <f t="shared" si="2"/>
        <v>1908.2481690321954</v>
      </c>
      <c r="K72" s="160"/>
      <c r="L72" s="160"/>
      <c r="M72" s="163"/>
      <c r="N72" s="163">
        <f>(($H$34-$G$26-$G$27+J72*12)+(300*1.15))/$D$16/(1-'Data to enter'!$C$13*1.15)</f>
        <v>634.95378745311632</v>
      </c>
      <c r="O72" s="160"/>
    </row>
    <row r="73" spans="1:15" ht="15" x14ac:dyDescent="0.25">
      <c r="A73" s="57"/>
      <c r="B73" s="57"/>
      <c r="C73" s="57"/>
      <c r="D73" s="57"/>
      <c r="E73" s="57"/>
      <c r="F73" s="57"/>
      <c r="G73" s="57"/>
      <c r="H73" s="57"/>
      <c r="I73" s="57"/>
    </row>
    <row r="74" spans="1:15" ht="15" x14ac:dyDescent="0.25">
      <c r="A74" s="57"/>
      <c r="B74" s="57"/>
      <c r="C74" s="57"/>
      <c r="D74" s="57"/>
      <c r="E74" s="57"/>
      <c r="F74" s="57"/>
      <c r="G74" s="57"/>
      <c r="H74" s="57"/>
      <c r="I74" s="57"/>
    </row>
    <row r="75" spans="1:15" ht="15.6" x14ac:dyDescent="0.3">
      <c r="A75" s="56"/>
      <c r="B75" s="156"/>
      <c r="C75" s="151"/>
      <c r="D75" s="151"/>
      <c r="E75" s="161" t="s">
        <v>122</v>
      </c>
      <c r="F75" s="151"/>
      <c r="G75" s="151"/>
      <c r="H75" s="151"/>
      <c r="I75" s="57"/>
      <c r="J75" s="166"/>
    </row>
    <row r="76" spans="1:15" ht="15.6" x14ac:dyDescent="0.3">
      <c r="A76" s="57"/>
      <c r="B76" s="57"/>
      <c r="C76" s="57"/>
      <c r="D76" s="57"/>
      <c r="E76" s="158" t="s">
        <v>117</v>
      </c>
      <c r="F76" s="57"/>
      <c r="G76" s="57"/>
      <c r="H76" s="57"/>
      <c r="I76" s="57"/>
      <c r="J76" s="107"/>
      <c r="K76" s="160"/>
      <c r="L76" s="160"/>
    </row>
    <row r="77" spans="1:15" ht="15" x14ac:dyDescent="0.25">
      <c r="A77" s="57"/>
      <c r="B77" s="60" t="s">
        <v>113</v>
      </c>
      <c r="C77" s="57"/>
      <c r="D77" s="57"/>
      <c r="E77" s="111">
        <f>E70+$H$44</f>
        <v>-2872.8456813677485</v>
      </c>
      <c r="F77" s="57"/>
      <c r="G77" s="57">
        <v>30</v>
      </c>
      <c r="H77" s="57" t="s">
        <v>114</v>
      </c>
      <c r="I77" s="57"/>
      <c r="J77" s="163"/>
      <c r="K77" s="163"/>
      <c r="L77" s="160"/>
    </row>
    <row r="78" spans="1:15" ht="15" x14ac:dyDescent="0.25">
      <c r="A78" s="57"/>
      <c r="B78" s="60"/>
      <c r="C78" s="57"/>
      <c r="D78" s="57"/>
      <c r="E78" s="111">
        <f t="shared" ref="E78:E79" si="3">E71+$H$44</f>
        <v>-5244.3299539058144</v>
      </c>
      <c r="F78" s="57"/>
      <c r="G78" s="57">
        <v>25</v>
      </c>
      <c r="H78" s="57" t="s">
        <v>114</v>
      </c>
      <c r="I78" s="57"/>
      <c r="J78" s="163"/>
      <c r="K78" s="163"/>
      <c r="L78" s="160"/>
    </row>
    <row r="79" spans="1:15" ht="15" x14ac:dyDescent="0.25">
      <c r="A79" s="57"/>
      <c r="B79" s="57"/>
      <c r="C79" s="57"/>
      <c r="D79" s="57"/>
      <c r="E79" s="111">
        <f t="shared" si="3"/>
        <v>-8840.3375465863428</v>
      </c>
      <c r="F79" s="57"/>
      <c r="G79" s="57">
        <v>20</v>
      </c>
      <c r="H79" s="57" t="s">
        <v>114</v>
      </c>
      <c r="I79" s="57"/>
      <c r="J79" s="163"/>
      <c r="K79" s="163"/>
      <c r="L79" s="160"/>
    </row>
    <row r="80" spans="1:15" ht="15" x14ac:dyDescent="0.25">
      <c r="A80" s="57"/>
      <c r="B80" s="57"/>
      <c r="C80" s="57"/>
      <c r="D80" s="57"/>
      <c r="E80" s="57"/>
      <c r="F80" s="57"/>
      <c r="G80" s="57"/>
      <c r="H80" s="57"/>
      <c r="I80" s="57"/>
    </row>
    <row r="81" spans="1:9" ht="15" x14ac:dyDescent="0.25">
      <c r="A81" s="57"/>
      <c r="B81" s="57"/>
      <c r="C81" s="57"/>
      <c r="D81" s="57"/>
      <c r="E81" s="57"/>
      <c r="F81" s="57"/>
      <c r="G81" s="57"/>
      <c r="H81" s="57"/>
      <c r="I81" s="57"/>
    </row>
    <row r="82" spans="1:9" ht="15" x14ac:dyDescent="0.25">
      <c r="A82" s="57"/>
      <c r="B82" s="57"/>
      <c r="C82" s="57"/>
      <c r="D82" s="57"/>
      <c r="E82" s="57"/>
      <c r="F82" s="57"/>
      <c r="G82" s="57"/>
      <c r="H82" s="57"/>
      <c r="I82" s="57"/>
    </row>
    <row r="83" spans="1:9" ht="15" x14ac:dyDescent="0.25">
      <c r="A83" s="57"/>
      <c r="B83" s="57"/>
      <c r="C83" s="57"/>
      <c r="D83" s="57"/>
      <c r="E83" s="57"/>
      <c r="F83" s="57"/>
      <c r="G83" s="57"/>
      <c r="H83" s="57"/>
      <c r="I83" s="57"/>
    </row>
    <row r="84" spans="1:9" ht="15" x14ac:dyDescent="0.25">
      <c r="A84" s="57"/>
      <c r="B84" s="57"/>
      <c r="C84" s="57"/>
      <c r="D84" s="57"/>
      <c r="E84" s="57"/>
      <c r="F84" s="57"/>
      <c r="G84" s="57"/>
      <c r="H84" s="57"/>
      <c r="I84" s="57"/>
    </row>
    <row r="85" spans="1:9" ht="15" x14ac:dyDescent="0.25">
      <c r="A85" s="57"/>
      <c r="B85" s="57"/>
      <c r="C85" s="57"/>
      <c r="D85" s="57"/>
      <c r="E85" s="57"/>
      <c r="F85" s="57"/>
      <c r="G85" s="57"/>
      <c r="H85" s="57"/>
      <c r="I85" s="57"/>
    </row>
    <row r="86" spans="1:9" ht="15" x14ac:dyDescent="0.25">
      <c r="A86" s="57"/>
      <c r="B86" s="57"/>
      <c r="C86" s="57"/>
      <c r="D86" s="57"/>
      <c r="E86" s="57"/>
      <c r="F86" s="57"/>
      <c r="G86" s="57"/>
      <c r="H86" s="57"/>
      <c r="I86" s="57"/>
    </row>
    <row r="87" spans="1:9" ht="15" x14ac:dyDescent="0.25">
      <c r="A87" s="57"/>
      <c r="B87" s="57"/>
      <c r="C87" s="57"/>
      <c r="D87" s="57"/>
      <c r="E87" s="57"/>
      <c r="F87" s="57"/>
      <c r="G87" s="57"/>
      <c r="H87" s="57"/>
      <c r="I87" s="57"/>
    </row>
    <row r="88" spans="1:9" ht="15" x14ac:dyDescent="0.25">
      <c r="A88" s="57"/>
      <c r="B88" s="57"/>
      <c r="C88" s="57"/>
      <c r="D88" s="57"/>
      <c r="E88" s="57"/>
      <c r="F88" s="57"/>
      <c r="G88" s="57"/>
      <c r="H88" s="75"/>
      <c r="I88" s="57"/>
    </row>
    <row r="89" spans="1:9" ht="15" x14ac:dyDescent="0.25">
      <c r="A89" s="57"/>
      <c r="B89" s="57"/>
      <c r="C89" s="57"/>
      <c r="D89" s="57"/>
      <c r="E89" s="57"/>
      <c r="F89" s="57"/>
      <c r="G89" s="57"/>
      <c r="H89" s="57"/>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57"/>
      <c r="C93" s="57"/>
      <c r="D93" s="57"/>
      <c r="E93" s="57"/>
      <c r="F93" s="57"/>
      <c r="G93" s="57"/>
      <c r="H93" s="57"/>
      <c r="I93" s="57"/>
    </row>
    <row r="94" spans="1:9" ht="15" x14ac:dyDescent="0.25">
      <c r="A94" s="57"/>
      <c r="B94" s="72"/>
      <c r="C94" s="72"/>
      <c r="D94" s="72"/>
      <c r="E94" s="72"/>
      <c r="F94" s="72"/>
      <c r="G94" s="72"/>
      <c r="H94" s="72"/>
      <c r="I94" s="72"/>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72"/>
      <c r="C97" s="72"/>
      <c r="D97" s="72"/>
      <c r="E97" s="72"/>
      <c r="F97" s="72"/>
      <c r="G97" s="72"/>
      <c r="H97" s="72"/>
      <c r="I97" s="72"/>
    </row>
    <row r="98" spans="1:9" ht="15" x14ac:dyDescent="0.25">
      <c r="A98" s="57"/>
      <c r="B98" s="82"/>
      <c r="C98" s="82"/>
      <c r="D98" s="82"/>
      <c r="E98" s="82"/>
      <c r="F98" s="82"/>
      <c r="G98" s="82"/>
      <c r="H98" s="57"/>
      <c r="I98" s="57"/>
    </row>
    <row r="99" spans="1:9" ht="15" x14ac:dyDescent="0.25">
      <c r="B99" s="83"/>
      <c r="C99" s="83"/>
      <c r="D99" s="83"/>
      <c r="E99" s="83"/>
      <c r="F99" s="84"/>
      <c r="G99" s="83"/>
    </row>
  </sheetData>
  <sheetProtection algorithmName="SHA-512" hashValue="T3zJk/hrmWf180TNgRUN/GkwuLisz+Hu3Kb2wYPcxXc++egMiLoKfMClNzwuAvh8gdMxyOjV0+dF8vY+Rp35gw==" saltValue="CVTf/yMBHtCsNBfqwjIe/w==" spinCount="100000" sheet="1" objects="1" selectLockedCells="1"/>
  <mergeCells count="3">
    <mergeCell ref="A1:G1"/>
    <mergeCell ref="F2:J2"/>
    <mergeCell ref="B62:I62"/>
  </mergeCells>
  <pageMargins left="0.75" right="0.75" top="1" bottom="1" header="0.5" footer="0.5"/>
  <pageSetup paperSize="9" scale="79" orientation="portrait" r:id="rId1"/>
  <headerFooter alignWithMargins="0">
    <oddFooter>&amp;CThis is based on estimated costs and returns.</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A284-1918-42FF-BFD0-9A641B2313B3}">
  <sheetPr codeName="Sheet7">
    <pageSetUpPr fitToPage="1"/>
  </sheetPr>
  <dimension ref="A1:O99"/>
  <sheetViews>
    <sheetView zoomScale="120" zoomScaleNormal="120" workbookViewId="0">
      <selection activeCell="E26" sqref="E26"/>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6384" width="9.109375" style="54"/>
  </cols>
  <sheetData>
    <row r="1" spans="1:10" ht="55.5" customHeight="1" x14ac:dyDescent="0.25">
      <c r="A1" s="190"/>
      <c r="B1" s="190"/>
      <c r="C1" s="190"/>
      <c r="D1" s="190"/>
      <c r="E1" s="190"/>
      <c r="F1" s="190"/>
      <c r="G1" s="190"/>
    </row>
    <row r="2" spans="1:10" ht="22.8" x14ac:dyDescent="0.4">
      <c r="B2" s="55" t="s">
        <v>24</v>
      </c>
      <c r="F2" s="192" t="str">
        <f>'p2 one year'!F2</f>
        <v>Slightly old Hamilton 3bedroom new build , March 2021</v>
      </c>
      <c r="G2" s="193"/>
      <c r="H2" s="193"/>
      <c r="I2" s="193"/>
      <c r="J2" s="193"/>
    </row>
    <row r="3" spans="1:10" ht="15.6" x14ac:dyDescent="0.3">
      <c r="F3" s="92" t="s">
        <v>110</v>
      </c>
      <c r="J3" s="107" t="s">
        <v>96</v>
      </c>
    </row>
    <row r="4" spans="1:10" x14ac:dyDescent="0.25">
      <c r="A4" s="56"/>
      <c r="B4" s="56"/>
      <c r="C4" s="56"/>
      <c r="D4" s="56"/>
      <c r="E4" s="56"/>
      <c r="F4" s="56"/>
      <c r="G4" s="56"/>
      <c r="H4" s="56"/>
      <c r="I4" s="56"/>
    </row>
    <row r="5" spans="1:10" ht="1.5" customHeight="1" x14ac:dyDescent="0.25">
      <c r="A5" s="56"/>
      <c r="B5" s="57"/>
      <c r="C5" s="56"/>
      <c r="D5" s="58"/>
      <c r="E5" s="56"/>
      <c r="F5" s="56"/>
      <c r="G5" s="56"/>
      <c r="H5" s="56"/>
      <c r="I5" s="56"/>
    </row>
    <row r="6" spans="1:10" ht="15.6" x14ac:dyDescent="0.3">
      <c r="A6" s="57"/>
      <c r="B6" s="57" t="s">
        <v>21</v>
      </c>
      <c r="C6" s="57"/>
      <c r="D6" s="45">
        <f>'p2 one year'!D6</f>
        <v>780000</v>
      </c>
      <c r="E6" s="58"/>
      <c r="F6" s="57"/>
      <c r="G6" s="57"/>
      <c r="H6" s="57"/>
      <c r="I6" s="57"/>
      <c r="J6" s="106">
        <f>'p4 10 year'!P6</f>
        <v>1374774.7502238748</v>
      </c>
    </row>
    <row r="7" spans="1:10" ht="15" x14ac:dyDescent="0.25">
      <c r="A7" s="57"/>
      <c r="B7" s="57" t="s">
        <v>92</v>
      </c>
      <c r="C7" s="57"/>
      <c r="D7" s="45">
        <f>'p2 one year'!D7</f>
        <v>2660</v>
      </c>
      <c r="E7" s="58"/>
      <c r="F7" s="57"/>
      <c r="G7" s="57"/>
      <c r="H7" s="57"/>
      <c r="I7" s="57"/>
    </row>
    <row r="8" spans="1:10" ht="15" x14ac:dyDescent="0.25">
      <c r="A8" s="57"/>
      <c r="B8" s="57" t="s">
        <v>93</v>
      </c>
      <c r="C8" s="57"/>
      <c r="D8" s="45">
        <f>'p2 one year'!D8</f>
        <v>1500</v>
      </c>
      <c r="E8" s="58"/>
      <c r="F8" s="57"/>
      <c r="G8" s="57"/>
      <c r="H8" s="57"/>
      <c r="I8" s="57"/>
    </row>
    <row r="9" spans="1:10" ht="15" x14ac:dyDescent="0.25">
      <c r="A9" s="57"/>
      <c r="B9" s="57"/>
      <c r="C9" s="57"/>
      <c r="D9" s="58"/>
      <c r="E9" s="59">
        <f>D6+D7-D8</f>
        <v>781160</v>
      </c>
      <c r="F9" s="57"/>
      <c r="G9" s="57"/>
      <c r="H9" s="57"/>
      <c r="I9" s="57"/>
    </row>
    <row r="10" spans="1:10" ht="15" x14ac:dyDescent="0.25">
      <c r="A10" s="57"/>
      <c r="B10" s="57" t="s">
        <v>94</v>
      </c>
      <c r="C10" s="57"/>
      <c r="D10" s="58"/>
      <c r="E10" s="120">
        <v>200000</v>
      </c>
      <c r="F10" s="57"/>
      <c r="G10" s="57"/>
      <c r="H10" s="57"/>
      <c r="I10" s="57"/>
    </row>
    <row r="11" spans="1:10" ht="15" x14ac:dyDescent="0.25">
      <c r="A11" s="57"/>
      <c r="B11" s="57"/>
      <c r="C11" s="57"/>
      <c r="D11" s="58"/>
      <c r="E11" s="58"/>
      <c r="F11" s="57"/>
      <c r="G11" s="57"/>
      <c r="H11" s="57"/>
      <c r="I11" s="57"/>
    </row>
    <row r="12" spans="1:10" ht="15" x14ac:dyDescent="0.25">
      <c r="A12" s="57"/>
      <c r="B12" s="60" t="s">
        <v>9</v>
      </c>
      <c r="C12" s="57"/>
      <c r="D12" s="58"/>
      <c r="E12" s="59">
        <f>E9-E10</f>
        <v>581160</v>
      </c>
      <c r="F12" s="57"/>
      <c r="G12" s="57"/>
      <c r="H12" s="57"/>
      <c r="I12" s="57"/>
    </row>
    <row r="13" spans="1:10" ht="8.25" customHeight="1" x14ac:dyDescent="0.25">
      <c r="A13" s="57"/>
      <c r="B13" s="57"/>
      <c r="C13" s="57"/>
      <c r="D13" s="58"/>
      <c r="E13" s="58"/>
      <c r="F13" s="57"/>
      <c r="G13" s="57"/>
      <c r="H13" s="57"/>
      <c r="I13" s="57"/>
    </row>
    <row r="14" spans="1:10" ht="17.399999999999999" x14ac:dyDescent="0.3">
      <c r="A14" s="57"/>
      <c r="B14" s="61" t="s">
        <v>0</v>
      </c>
      <c r="C14" s="57"/>
      <c r="D14" s="57"/>
      <c r="E14" s="57"/>
      <c r="F14" s="57"/>
      <c r="G14" s="57"/>
      <c r="H14" s="57"/>
      <c r="I14" s="57"/>
    </row>
    <row r="15" spans="1:10" ht="8.25" customHeight="1" x14ac:dyDescent="0.25">
      <c r="A15" s="57"/>
      <c r="B15" s="57"/>
      <c r="C15" s="57"/>
      <c r="D15" s="57"/>
      <c r="E15" s="57"/>
      <c r="F15" s="57"/>
      <c r="G15" s="57"/>
      <c r="H15" s="57"/>
      <c r="I15" s="57"/>
    </row>
    <row r="16" spans="1:10" ht="15.6" x14ac:dyDescent="0.3">
      <c r="A16" s="57"/>
      <c r="B16" s="57" t="s">
        <v>27</v>
      </c>
      <c r="C16" s="57" t="s">
        <v>25</v>
      </c>
      <c r="D16" s="46">
        <f>'p2 one year'!D16</f>
        <v>52</v>
      </c>
      <c r="E16" s="57"/>
      <c r="F16" s="57"/>
      <c r="G16" s="57"/>
      <c r="H16" s="108">
        <f>D16*D17</f>
        <v>30160</v>
      </c>
      <c r="I16" s="57"/>
      <c r="J16" s="106">
        <f>'p4 10 year'!P14</f>
        <v>39351.959224290018</v>
      </c>
    </row>
    <row r="17" spans="1:10" ht="15" x14ac:dyDescent="0.25">
      <c r="A17" s="57"/>
      <c r="B17" s="57"/>
      <c r="C17" s="57" t="s">
        <v>26</v>
      </c>
      <c r="D17" s="110">
        <f>'p2 one year'!D17</f>
        <v>580</v>
      </c>
      <c r="E17" s="57"/>
      <c r="F17" s="57"/>
      <c r="G17" s="57"/>
      <c r="H17" s="57"/>
      <c r="I17" s="57"/>
    </row>
    <row r="18" spans="1:10" ht="15" x14ac:dyDescent="0.25">
      <c r="A18" s="57"/>
      <c r="B18" s="57"/>
      <c r="C18" s="57"/>
      <c r="D18" s="57" t="s">
        <v>11</v>
      </c>
      <c r="E18" s="57"/>
      <c r="F18" s="57"/>
      <c r="G18" s="62">
        <f>H16/E9</f>
        <v>3.8609247785344872E-2</v>
      </c>
      <c r="H18" s="63"/>
      <c r="I18" s="57"/>
    </row>
    <row r="19" spans="1:10" ht="6.75" customHeight="1" x14ac:dyDescent="0.25">
      <c r="A19" s="57"/>
      <c r="B19" s="57"/>
      <c r="C19" s="57"/>
      <c r="D19" s="57"/>
      <c r="E19" s="57"/>
      <c r="F19" s="57"/>
      <c r="G19" s="57"/>
      <c r="H19" s="57"/>
      <c r="I19" s="57"/>
    </row>
    <row r="20" spans="1:10" ht="24" customHeight="1" x14ac:dyDescent="0.3">
      <c r="A20" s="57"/>
      <c r="B20" s="64" t="s">
        <v>1</v>
      </c>
      <c r="C20" s="65"/>
      <c r="D20" s="57"/>
      <c r="E20" s="57"/>
      <c r="F20" s="57"/>
      <c r="G20" s="57"/>
      <c r="H20" s="57"/>
      <c r="I20" s="57"/>
    </row>
    <row r="21" spans="1:10" ht="15" x14ac:dyDescent="0.25">
      <c r="A21" s="57"/>
      <c r="B21" s="57"/>
      <c r="C21" s="57"/>
      <c r="D21" s="57"/>
      <c r="E21" s="57"/>
      <c r="F21" s="57"/>
      <c r="G21" s="57"/>
      <c r="H21" s="57"/>
      <c r="I21" s="57"/>
    </row>
    <row r="22" spans="1:10" ht="15" x14ac:dyDescent="0.25">
      <c r="A22" s="57"/>
      <c r="B22" s="57" t="s">
        <v>7</v>
      </c>
      <c r="C22" s="57"/>
      <c r="D22" s="57"/>
      <c r="E22" s="57"/>
      <c r="F22" s="57"/>
      <c r="G22" s="110">
        <f>'p2 one year'!G22</f>
        <v>1700</v>
      </c>
      <c r="H22" s="111"/>
      <c r="I22" s="57"/>
    </row>
    <row r="23" spans="1:10" ht="15" x14ac:dyDescent="0.25">
      <c r="A23" s="57"/>
      <c r="B23" s="57" t="s">
        <v>8</v>
      </c>
      <c r="C23" s="57"/>
      <c r="D23" s="57"/>
      <c r="E23" s="57"/>
      <c r="F23" s="57"/>
      <c r="G23" s="110">
        <f>'p2 one year'!G23</f>
        <v>50</v>
      </c>
      <c r="H23" s="111"/>
      <c r="I23" s="57"/>
    </row>
    <row r="24" spans="1:10" ht="15" x14ac:dyDescent="0.25">
      <c r="A24" s="57"/>
      <c r="B24" s="57" t="s">
        <v>14</v>
      </c>
      <c r="C24" s="57"/>
      <c r="D24" s="57"/>
      <c r="E24" s="57"/>
      <c r="F24" s="57"/>
      <c r="G24" s="110">
        <f>'p2 one year'!G24</f>
        <v>0</v>
      </c>
      <c r="H24" s="111"/>
      <c r="I24" s="57"/>
    </row>
    <row r="25" spans="1:10" ht="15" x14ac:dyDescent="0.25">
      <c r="A25" s="57"/>
      <c r="B25" s="57" t="s">
        <v>2</v>
      </c>
      <c r="C25" s="57"/>
      <c r="D25" s="57"/>
      <c r="E25" s="57"/>
      <c r="F25" s="57"/>
      <c r="G25" s="110">
        <f>'p2 one year'!G25</f>
        <v>1200</v>
      </c>
      <c r="H25" s="111"/>
      <c r="I25" s="57"/>
    </row>
    <row r="26" spans="1:10" ht="15.6" x14ac:dyDescent="0.3">
      <c r="A26" s="57"/>
      <c r="B26" s="57" t="s">
        <v>28</v>
      </c>
      <c r="C26" s="57"/>
      <c r="D26" s="57" t="s">
        <v>29</v>
      </c>
      <c r="E26" s="47">
        <f>'p2 one year'!E26</f>
        <v>2.29E-2</v>
      </c>
      <c r="F26" s="57"/>
      <c r="G26" s="66">
        <f>E12*E26</f>
        <v>13308.564</v>
      </c>
      <c r="H26" s="111"/>
      <c r="I26" s="98"/>
      <c r="J26" s="106">
        <f>'p4 10 year'!P24</f>
        <v>23972.850000000002</v>
      </c>
    </row>
    <row r="27" spans="1:10" ht="15" x14ac:dyDescent="0.25">
      <c r="A27" s="57"/>
      <c r="B27" s="57" t="s">
        <v>95</v>
      </c>
      <c r="C27" s="57"/>
      <c r="D27" s="57"/>
      <c r="E27" s="57"/>
      <c r="F27" s="57"/>
      <c r="G27" s="85">
        <f>'p2 one year'!G27</f>
        <v>3119.72</v>
      </c>
      <c r="H27" s="111"/>
      <c r="I27" s="57"/>
    </row>
    <row r="28" spans="1:10" ht="15" x14ac:dyDescent="0.25">
      <c r="A28" s="57"/>
      <c r="B28" s="57" t="s">
        <v>3</v>
      </c>
      <c r="C28" s="57"/>
      <c r="D28" s="57"/>
      <c r="E28" s="57"/>
      <c r="F28" s="57"/>
      <c r="G28" s="110">
        <f>'p2 one year'!G28</f>
        <v>3000</v>
      </c>
      <c r="H28" s="111"/>
      <c r="I28" s="57"/>
    </row>
    <row r="29" spans="1:10" ht="15" x14ac:dyDescent="0.25">
      <c r="A29" s="57"/>
      <c r="B29" s="57" t="s">
        <v>6</v>
      </c>
      <c r="C29" s="57"/>
      <c r="D29" s="57"/>
      <c r="E29" s="57"/>
      <c r="F29" s="57"/>
      <c r="G29" s="110">
        <f>'p2 one year'!G29</f>
        <v>500</v>
      </c>
      <c r="H29" s="111"/>
      <c r="I29" s="57"/>
    </row>
    <row r="30" spans="1:10" ht="15" x14ac:dyDescent="0.25">
      <c r="A30" s="57"/>
      <c r="B30" s="57" t="s">
        <v>22</v>
      </c>
      <c r="C30" s="57"/>
      <c r="D30" s="57"/>
      <c r="E30" s="57"/>
      <c r="F30" s="57"/>
      <c r="G30" s="110">
        <f>'p2 one year'!G30</f>
        <v>100</v>
      </c>
      <c r="H30" s="111"/>
      <c r="I30" s="57"/>
    </row>
    <row r="31" spans="1:10" ht="15" x14ac:dyDescent="0.25">
      <c r="A31" s="57"/>
      <c r="B31" s="57" t="s">
        <v>23</v>
      </c>
      <c r="C31" s="57"/>
      <c r="D31" s="57"/>
      <c r="E31" s="57"/>
      <c r="F31" s="57"/>
      <c r="G31" s="110">
        <f>'p2 one year'!G31</f>
        <v>300</v>
      </c>
      <c r="H31" s="111"/>
      <c r="I31" s="57"/>
      <c r="J31" s="67"/>
    </row>
    <row r="32" spans="1:10" ht="15" x14ac:dyDescent="0.25">
      <c r="A32" s="57"/>
      <c r="B32" s="57" t="s">
        <v>5</v>
      </c>
      <c r="C32" s="57"/>
      <c r="D32" s="57"/>
      <c r="E32" s="57"/>
      <c r="F32" s="57"/>
      <c r="G32" s="110">
        <f>'p2 one year'!G32</f>
        <v>86</v>
      </c>
      <c r="H32" s="111"/>
      <c r="I32" s="57"/>
    </row>
    <row r="33" spans="1:12" ht="15" x14ac:dyDescent="0.25">
      <c r="A33" s="57"/>
      <c r="B33" s="57"/>
      <c r="C33" s="57"/>
      <c r="D33" s="57"/>
      <c r="E33" s="57"/>
      <c r="F33" s="57"/>
      <c r="G33" s="111"/>
      <c r="H33" s="111"/>
      <c r="I33" s="57"/>
    </row>
    <row r="34" spans="1:12" ht="18" thickBot="1" x14ac:dyDescent="0.35">
      <c r="A34" s="57"/>
      <c r="B34" s="64" t="s">
        <v>4</v>
      </c>
      <c r="C34" s="64"/>
      <c r="D34" s="57"/>
      <c r="E34" s="57"/>
      <c r="F34" s="57"/>
      <c r="G34" s="111"/>
      <c r="H34" s="113">
        <f>SUM(G22:G32)</f>
        <v>23364.284</v>
      </c>
      <c r="I34" s="57"/>
      <c r="J34" s="106">
        <f>'p4 10 year'!P32</f>
        <v>37093.283800095414</v>
      </c>
    </row>
    <row r="35" spans="1:12" ht="15" x14ac:dyDescent="0.25">
      <c r="A35" s="57"/>
      <c r="B35" s="57"/>
      <c r="C35" s="57"/>
      <c r="D35" s="57"/>
      <c r="E35" s="57"/>
      <c r="F35" s="57"/>
      <c r="G35" s="111"/>
      <c r="H35" s="111"/>
      <c r="I35" s="57"/>
      <c r="J35" s="95"/>
    </row>
    <row r="36" spans="1:12" ht="15.6" x14ac:dyDescent="0.3">
      <c r="A36" s="57"/>
      <c r="B36" s="68" t="s">
        <v>10</v>
      </c>
      <c r="C36" s="68"/>
      <c r="D36" s="68"/>
      <c r="E36" s="57"/>
      <c r="F36" s="57"/>
      <c r="G36" s="111"/>
      <c r="H36" s="66">
        <f>H16-H34</f>
        <v>6795.7160000000003</v>
      </c>
      <c r="I36" s="57"/>
      <c r="J36" s="106">
        <f>J16-J34</f>
        <v>2258.6754241946037</v>
      </c>
    </row>
    <row r="37" spans="1:12" ht="15" x14ac:dyDescent="0.25">
      <c r="A37" s="57"/>
      <c r="B37" s="57"/>
      <c r="C37" s="57"/>
      <c r="D37" s="57"/>
      <c r="E37" s="57"/>
      <c r="F37" s="57"/>
      <c r="G37" s="111"/>
      <c r="H37" s="111"/>
      <c r="I37" s="57"/>
      <c r="J37" s="95"/>
    </row>
    <row r="38" spans="1:12" ht="15" x14ac:dyDescent="0.25">
      <c r="A38" s="57"/>
      <c r="B38" s="60" t="s">
        <v>12</v>
      </c>
      <c r="C38" s="60"/>
      <c r="D38" s="57"/>
      <c r="E38" s="57" t="s">
        <v>15</v>
      </c>
      <c r="F38" s="57"/>
      <c r="G38" s="111"/>
      <c r="H38" s="66">
        <v>0</v>
      </c>
      <c r="I38" s="57"/>
      <c r="J38" s="95"/>
    </row>
    <row r="39" spans="1:12" ht="15.6" x14ac:dyDescent="0.3">
      <c r="A39" s="57"/>
      <c r="B39" s="57"/>
      <c r="C39" s="57"/>
      <c r="D39" s="57"/>
      <c r="E39" s="57" t="s">
        <v>16</v>
      </c>
      <c r="F39" s="57"/>
      <c r="G39" s="111"/>
      <c r="H39" s="110">
        <f>'p2 one year'!H39</f>
        <v>6000</v>
      </c>
      <c r="I39" s="57"/>
      <c r="J39" s="106">
        <f>'p4 10 year'!P37</f>
        <v>450.50811767578125</v>
      </c>
    </row>
    <row r="40" spans="1:12" ht="15" x14ac:dyDescent="0.25">
      <c r="A40" s="57"/>
      <c r="B40" s="57"/>
      <c r="C40" s="57"/>
      <c r="D40" s="57"/>
      <c r="E40" s="57"/>
      <c r="F40" s="57"/>
      <c r="G40" s="111"/>
      <c r="H40" s="111"/>
      <c r="I40" s="57"/>
      <c r="J40" s="95"/>
    </row>
    <row r="41" spans="1:12" ht="15" x14ac:dyDescent="0.25">
      <c r="A41" s="57"/>
      <c r="B41" s="57"/>
      <c r="C41" s="57"/>
      <c r="D41" s="57"/>
      <c r="E41" s="57"/>
      <c r="F41" s="57"/>
      <c r="G41" s="111"/>
      <c r="H41" s="111"/>
      <c r="I41" s="57"/>
      <c r="J41" s="95"/>
    </row>
    <row r="42" spans="1:12" ht="16.2" thickBot="1" x14ac:dyDescent="0.35">
      <c r="A42" s="57"/>
      <c r="B42" s="60" t="s">
        <v>13</v>
      </c>
      <c r="C42" s="60"/>
      <c r="D42" s="60"/>
      <c r="E42" s="60"/>
      <c r="F42" s="60"/>
      <c r="G42" s="66"/>
      <c r="H42" s="114">
        <f>H36-H38-H39-H40</f>
        <v>795.71600000000035</v>
      </c>
      <c r="I42" s="57"/>
      <c r="J42" s="106">
        <f>J36-J39</f>
        <v>1808.1673065188224</v>
      </c>
    </row>
    <row r="43" spans="1:12" ht="15.6" thickTop="1" x14ac:dyDescent="0.25">
      <c r="A43" s="57"/>
      <c r="B43" s="60"/>
      <c r="C43" s="60"/>
      <c r="D43" s="60"/>
      <c r="E43" s="60"/>
      <c r="F43" s="60"/>
      <c r="G43" s="66"/>
      <c r="H43" s="66"/>
      <c r="I43" s="57"/>
      <c r="J43" s="95"/>
    </row>
    <row r="44" spans="1:12" ht="17.399999999999999" x14ac:dyDescent="0.3">
      <c r="A44" s="57"/>
      <c r="B44" s="70" t="s">
        <v>30</v>
      </c>
      <c r="C44" s="60"/>
      <c r="D44" s="60"/>
      <c r="E44" s="71"/>
      <c r="F44" s="60"/>
      <c r="G44" s="66"/>
      <c r="H44" s="66">
        <f>IF(H42&lt;0,0,-(H42*$G$45*$E$45)+-(H42*$G$46*$E$46))</f>
        <v>-261.35292020000009</v>
      </c>
      <c r="I44" s="66"/>
      <c r="J44" s="66">
        <f t="shared" ref="J44" si="0">IF(J42&lt;0,0,-(J42*$G$45*$E$45)+-(J42*$G$46*$E$46))</f>
        <v>-593.89255182610725</v>
      </c>
      <c r="L44" s="67" t="s">
        <v>86</v>
      </c>
    </row>
    <row r="45" spans="1:12" ht="15" x14ac:dyDescent="0.25">
      <c r="A45" s="57"/>
      <c r="B45" s="60"/>
      <c r="C45" s="60" t="s">
        <v>32</v>
      </c>
      <c r="D45" s="60" t="s">
        <v>31</v>
      </c>
      <c r="E45" s="47">
        <f>'p2 one year'!E45</f>
        <v>0.33</v>
      </c>
      <c r="F45" s="60" t="s">
        <v>33</v>
      </c>
      <c r="G45" s="48">
        <f>'p2 one year'!G45</f>
        <v>0.99</v>
      </c>
      <c r="H45" s="69"/>
      <c r="I45" s="57"/>
      <c r="J45" s="95"/>
      <c r="L45" s="67" t="s">
        <v>87</v>
      </c>
    </row>
    <row r="46" spans="1:12" ht="15" x14ac:dyDescent="0.25">
      <c r="A46" s="57"/>
      <c r="B46" s="60"/>
      <c r="C46" s="60" t="s">
        <v>34</v>
      </c>
      <c r="D46" s="60"/>
      <c r="E46" s="47">
        <f>'p2 one year'!E46</f>
        <v>0.17499999999999999</v>
      </c>
      <c r="F46" s="60"/>
      <c r="G46" s="48">
        <f>'p2 one year'!G46</f>
        <v>0.01</v>
      </c>
      <c r="H46" s="69"/>
      <c r="I46" s="57"/>
      <c r="J46" s="95"/>
      <c r="L46" s="67" t="s">
        <v>85</v>
      </c>
    </row>
    <row r="47" spans="1:12" ht="15" x14ac:dyDescent="0.25">
      <c r="A47" s="57"/>
      <c r="B47" s="72"/>
      <c r="C47" s="72"/>
      <c r="D47" s="72"/>
      <c r="E47" s="72"/>
      <c r="F47" s="72"/>
      <c r="G47" s="72"/>
      <c r="H47" s="72"/>
      <c r="I47" s="72"/>
      <c r="J47" s="95"/>
    </row>
    <row r="48" spans="1:12" ht="18" thickBot="1" x14ac:dyDescent="0.35">
      <c r="A48" s="57"/>
      <c r="B48" s="60" t="s">
        <v>36</v>
      </c>
      <c r="C48" s="72"/>
      <c r="D48" s="72"/>
      <c r="E48" s="72"/>
      <c r="F48" s="72"/>
      <c r="G48" s="72"/>
      <c r="H48" s="73">
        <f>H36+H44</f>
        <v>6534.3630798000004</v>
      </c>
      <c r="I48" s="74"/>
      <c r="J48" s="109">
        <f>J36+J44</f>
        <v>1664.7828723684966</v>
      </c>
    </row>
    <row r="49" spans="1:10" ht="15.6" thickTop="1" x14ac:dyDescent="0.25">
      <c r="A49" s="57"/>
      <c r="B49" s="57"/>
      <c r="C49" s="57"/>
      <c r="D49" s="57"/>
      <c r="E49" s="57"/>
      <c r="F49" s="57"/>
      <c r="G49" s="63"/>
      <c r="H49" s="57"/>
      <c r="I49" s="57"/>
    </row>
    <row r="50" spans="1:10" ht="15.6" x14ac:dyDescent="0.3">
      <c r="A50" s="57"/>
      <c r="B50" s="60" t="s">
        <v>17</v>
      </c>
      <c r="C50" s="57"/>
      <c r="D50" s="57"/>
      <c r="E50" s="57"/>
      <c r="F50" s="57"/>
      <c r="G50" s="63"/>
      <c r="H50" s="59">
        <f>H48/52</f>
        <v>125.66082845769232</v>
      </c>
      <c r="I50" s="58"/>
      <c r="J50" s="115">
        <f>J48/52</f>
        <v>32.015055237855705</v>
      </c>
    </row>
    <row r="51" spans="1:10" ht="15" x14ac:dyDescent="0.25">
      <c r="A51" s="57"/>
      <c r="B51" s="57"/>
      <c r="C51" s="57"/>
      <c r="D51" s="57"/>
      <c r="E51" s="57"/>
      <c r="F51" s="57"/>
      <c r="G51" s="63"/>
      <c r="H51" s="75"/>
      <c r="I51" s="57"/>
    </row>
    <row r="52" spans="1:10" ht="15" x14ac:dyDescent="0.25">
      <c r="A52" s="57"/>
      <c r="B52" s="57" t="s">
        <v>19</v>
      </c>
      <c r="C52" s="57"/>
      <c r="D52" s="57"/>
      <c r="E52" s="57"/>
      <c r="F52" s="57"/>
      <c r="G52" s="62">
        <f>H48/E10</f>
        <v>3.2671815399E-2</v>
      </c>
      <c r="H52" s="69" t="s">
        <v>18</v>
      </c>
      <c r="I52" s="57"/>
    </row>
    <row r="53" spans="1:10" ht="15" x14ac:dyDescent="0.25">
      <c r="A53" s="57"/>
      <c r="B53" s="57"/>
      <c r="C53" s="57"/>
      <c r="D53" s="57"/>
      <c r="E53" s="63"/>
      <c r="F53" s="57"/>
      <c r="G53" s="76"/>
      <c r="H53" s="57"/>
      <c r="I53" s="57"/>
    </row>
    <row r="54" spans="1:10" ht="15" x14ac:dyDescent="0.25">
      <c r="A54" s="57"/>
      <c r="B54" s="57" t="s">
        <v>35</v>
      </c>
      <c r="C54" s="57"/>
      <c r="D54" s="57"/>
      <c r="E54" s="47">
        <f>'p2 one year'!E54</f>
        <v>0.03</v>
      </c>
      <c r="F54" s="57"/>
      <c r="G54" s="63"/>
      <c r="H54" s="69">
        <f>E9*E54</f>
        <v>23434.799999999999</v>
      </c>
      <c r="I54" s="57"/>
    </row>
    <row r="55" spans="1:10" ht="15" x14ac:dyDescent="0.25">
      <c r="A55" s="57"/>
      <c r="B55" s="57"/>
      <c r="C55" s="57"/>
      <c r="D55" s="57"/>
      <c r="E55" s="57"/>
      <c r="F55" s="57"/>
      <c r="G55" s="63"/>
      <c r="H55" s="75"/>
      <c r="I55" s="57"/>
    </row>
    <row r="56" spans="1:10" ht="15" x14ac:dyDescent="0.25">
      <c r="A56" s="57"/>
      <c r="B56" s="72" t="s">
        <v>20</v>
      </c>
      <c r="C56" s="72"/>
      <c r="D56" s="72"/>
      <c r="E56" s="72"/>
      <c r="F56" s="57"/>
      <c r="G56" s="63">
        <f>(H48+H54)/E10</f>
        <v>0.14984581539899999</v>
      </c>
      <c r="H56" s="75" t="s">
        <v>18</v>
      </c>
      <c r="I56" s="57"/>
    </row>
    <row r="57" spans="1:10" ht="14.25" customHeight="1" x14ac:dyDescent="0.25">
      <c r="A57" s="57"/>
      <c r="B57" s="57"/>
      <c r="C57" s="57"/>
      <c r="D57" s="57"/>
      <c r="E57" s="57"/>
      <c r="F57" s="57"/>
      <c r="G57" s="63"/>
      <c r="H57" s="75"/>
      <c r="I57" s="57"/>
    </row>
    <row r="58" spans="1:10" ht="15" hidden="1" x14ac:dyDescent="0.25">
      <c r="A58" s="57"/>
      <c r="B58" s="77"/>
      <c r="C58" s="77"/>
      <c r="D58" s="77"/>
      <c r="E58" s="77"/>
      <c r="F58" s="77"/>
      <c r="G58" s="78"/>
      <c r="H58" s="77"/>
      <c r="I58" s="77"/>
      <c r="J58" s="79"/>
    </row>
    <row r="59" spans="1:10" hidden="1" x14ac:dyDescent="0.25">
      <c r="B59" s="79"/>
      <c r="C59" s="79"/>
      <c r="D59" s="79"/>
      <c r="E59" s="79"/>
      <c r="F59" s="79"/>
      <c r="G59" s="79"/>
      <c r="H59" s="79"/>
      <c r="I59" s="79"/>
      <c r="J59" s="79"/>
    </row>
    <row r="60" spans="1:10" hidden="1" x14ac:dyDescent="0.25">
      <c r="A60" s="56"/>
      <c r="B60" s="80"/>
      <c r="C60" s="81"/>
      <c r="D60" s="80"/>
      <c r="E60" s="80"/>
      <c r="F60" s="80"/>
      <c r="G60" s="80"/>
      <c r="H60" s="80"/>
      <c r="I60" s="80"/>
      <c r="J60" s="79"/>
    </row>
    <row r="61" spans="1:10" hidden="1" x14ac:dyDescent="0.25">
      <c r="A61" s="56"/>
      <c r="B61" s="56"/>
      <c r="C61" s="56"/>
      <c r="D61" s="56"/>
      <c r="E61" s="56"/>
      <c r="F61" s="56"/>
      <c r="G61" s="56"/>
      <c r="H61" s="56"/>
      <c r="I61" s="56"/>
    </row>
    <row r="62" spans="1:10" ht="29.4" x14ac:dyDescent="0.45">
      <c r="A62" s="56"/>
      <c r="B62" s="191"/>
      <c r="C62" s="191"/>
      <c r="D62" s="191"/>
      <c r="E62" s="191"/>
      <c r="F62" s="191"/>
      <c r="G62" s="191"/>
      <c r="H62" s="191"/>
      <c r="I62" s="191"/>
    </row>
    <row r="63" spans="1:10" ht="29.4" x14ac:dyDescent="0.45">
      <c r="A63" s="56"/>
      <c r="B63" s="157" t="s">
        <v>115</v>
      </c>
      <c r="C63" s="172"/>
      <c r="D63" s="172"/>
      <c r="E63" s="172"/>
      <c r="F63" s="172"/>
      <c r="G63" s="172"/>
      <c r="H63" s="172"/>
      <c r="I63" s="172"/>
    </row>
    <row r="64" spans="1:10" ht="29.4" x14ac:dyDescent="0.45">
      <c r="A64" s="56"/>
      <c r="B64" s="172"/>
      <c r="C64" s="172"/>
      <c r="D64" s="172"/>
      <c r="E64" s="172"/>
      <c r="F64" s="172"/>
      <c r="G64" s="172"/>
      <c r="H64" s="172"/>
      <c r="I64" s="172"/>
    </row>
    <row r="65" spans="1:15" x14ac:dyDescent="0.25">
      <c r="A65" s="56"/>
      <c r="B65" s="56"/>
      <c r="C65" s="56"/>
      <c r="D65" s="56"/>
      <c r="E65" s="56"/>
      <c r="F65" s="56"/>
      <c r="G65" s="56"/>
      <c r="H65" s="56"/>
      <c r="I65" s="56"/>
    </row>
    <row r="66" spans="1:15" ht="15.6" x14ac:dyDescent="0.3">
      <c r="A66" s="56"/>
      <c r="B66" s="156" t="s">
        <v>112</v>
      </c>
      <c r="C66" s="151"/>
      <c r="D66" s="151"/>
      <c r="E66" s="159">
        <f>((H34-G27)+(300*1.15))/D16/(1-'Data to enter'!C13*1.15)</f>
        <v>436.07175533717384</v>
      </c>
      <c r="F66" s="151"/>
      <c r="G66" s="151" t="s">
        <v>26</v>
      </c>
      <c r="H66" s="151"/>
      <c r="I66" s="151"/>
      <c r="J66" s="160"/>
      <c r="K66" s="160"/>
      <c r="L66" s="160"/>
      <c r="M66" s="160"/>
      <c r="N66" s="160"/>
      <c r="O66" s="160"/>
    </row>
    <row r="67" spans="1:15" ht="15.6" x14ac:dyDescent="0.3">
      <c r="A67" s="56"/>
      <c r="B67" s="156"/>
      <c r="C67" s="151"/>
      <c r="D67" s="151"/>
      <c r="E67" s="161"/>
      <c r="F67" s="151"/>
      <c r="G67" s="151"/>
      <c r="H67" s="151"/>
      <c r="I67" s="151"/>
      <c r="J67" s="160"/>
      <c r="K67" s="160"/>
      <c r="L67" s="160"/>
      <c r="M67" s="160"/>
      <c r="N67" s="165"/>
      <c r="O67" s="160"/>
    </row>
    <row r="68" spans="1:15" ht="15.6" x14ac:dyDescent="0.3">
      <c r="A68" s="56"/>
      <c r="B68" s="156"/>
      <c r="C68" s="151"/>
      <c r="D68" s="151"/>
      <c r="E68" s="161" t="s">
        <v>121</v>
      </c>
      <c r="F68" s="151"/>
      <c r="G68" s="151"/>
      <c r="H68" s="151"/>
      <c r="I68" s="151"/>
      <c r="J68" s="160"/>
      <c r="K68" s="160"/>
      <c r="L68" s="160"/>
      <c r="M68" s="166" t="s">
        <v>121</v>
      </c>
      <c r="N68" s="165"/>
      <c r="O68" s="160"/>
    </row>
    <row r="69" spans="1:15" ht="15.6" x14ac:dyDescent="0.3">
      <c r="A69" s="57"/>
      <c r="B69" s="57"/>
      <c r="C69" s="57"/>
      <c r="D69" s="57"/>
      <c r="E69" s="158" t="s">
        <v>117</v>
      </c>
      <c r="F69" s="57"/>
      <c r="G69" s="57"/>
      <c r="H69" s="57"/>
      <c r="I69" s="57"/>
      <c r="J69" s="107" t="s">
        <v>116</v>
      </c>
      <c r="K69" s="160"/>
      <c r="L69" s="160"/>
      <c r="M69" s="107" t="s">
        <v>118</v>
      </c>
      <c r="N69" s="160"/>
      <c r="O69" s="160"/>
    </row>
    <row r="70" spans="1:15" ht="15" x14ac:dyDescent="0.25">
      <c r="A70" s="57"/>
      <c r="B70" s="60" t="s">
        <v>113</v>
      </c>
      <c r="C70" s="57"/>
      <c r="D70" s="57"/>
      <c r="E70" s="111">
        <f>$H$36+$G$26-(J70*12)</f>
        <v>-6695.7594884697974</v>
      </c>
      <c r="F70" s="57"/>
      <c r="G70" s="57">
        <v>30</v>
      </c>
      <c r="H70" s="57" t="s">
        <v>114</v>
      </c>
      <c r="I70" s="57"/>
      <c r="J70" s="162">
        <f>PMT($E$26/12,G70*12,$E$12)*-1</f>
        <v>2233.3366240391497</v>
      </c>
      <c r="K70" s="160"/>
      <c r="L70" s="160"/>
      <c r="M70" s="163"/>
      <c r="N70" s="163">
        <f>(($H$34-$G$26-$G$27+J70*12)+(300*1.15))/$D$16/(1-'Data to enter'!$C$13*1.15)</f>
        <v>721.81123958975343</v>
      </c>
      <c r="O70" s="160"/>
    </row>
    <row r="71" spans="1:15" ht="15" x14ac:dyDescent="0.25">
      <c r="A71" s="57"/>
      <c r="B71" s="60"/>
      <c r="C71" s="57"/>
      <c r="D71" s="57"/>
      <c r="E71" s="111">
        <f t="shared" ref="E71:E72" si="1">$H$36+$G$26-(J71*12)</f>
        <v>-10449.468497697981</v>
      </c>
      <c r="F71" s="57"/>
      <c r="G71" s="57">
        <v>25</v>
      </c>
      <c r="H71" s="57" t="s">
        <v>114</v>
      </c>
      <c r="I71" s="57"/>
      <c r="J71" s="162">
        <f t="shared" ref="J71:J72" si="2">PMT($E$26/12,G71*12,$E$12)*-1</f>
        <v>2546.1457081414983</v>
      </c>
      <c r="K71" s="160"/>
      <c r="L71" s="160"/>
      <c r="M71" s="163"/>
      <c r="N71" s="163">
        <f>(($H$34-$G$26-$G$27+J71*12)+(300*1.15))/$D$16/(1-'Data to enter'!$C$13*1.15)</f>
        <v>801.31202341786627</v>
      </c>
      <c r="O71" s="160"/>
    </row>
    <row r="72" spans="1:15" ht="15" x14ac:dyDescent="0.25">
      <c r="A72" s="57"/>
      <c r="B72" s="57"/>
      <c r="C72" s="57"/>
      <c r="D72" s="57"/>
      <c r="E72" s="111">
        <f t="shared" si="1"/>
        <v>-16141.416892300389</v>
      </c>
      <c r="F72" s="57"/>
      <c r="G72" s="57">
        <v>20</v>
      </c>
      <c r="H72" s="57" t="s">
        <v>114</v>
      </c>
      <c r="I72" s="57"/>
      <c r="J72" s="162">
        <f t="shared" si="2"/>
        <v>3020.474741025032</v>
      </c>
      <c r="K72" s="160"/>
      <c r="L72" s="160"/>
      <c r="M72" s="163"/>
      <c r="N72" s="163">
        <f>(($H$34-$G$26-$G$27+J72*12)+(300*1.15))/$D$16/(1-'Data to enter'!$C$13*1.15)</f>
        <v>921.86328558752086</v>
      </c>
      <c r="O72" s="160"/>
    </row>
    <row r="73" spans="1:15" ht="15" x14ac:dyDescent="0.25">
      <c r="A73" s="57"/>
      <c r="B73" s="57"/>
      <c r="C73" s="57"/>
      <c r="D73" s="57"/>
      <c r="E73" s="57"/>
      <c r="F73" s="57"/>
      <c r="G73" s="57"/>
      <c r="H73" s="57"/>
      <c r="I73" s="57"/>
    </row>
    <row r="74" spans="1:15" ht="15" x14ac:dyDescent="0.25">
      <c r="A74" s="57"/>
      <c r="B74" s="57"/>
      <c r="C74" s="57"/>
      <c r="D74" s="57"/>
      <c r="E74" s="57"/>
      <c r="F74" s="57"/>
      <c r="G74" s="57"/>
      <c r="H74" s="57"/>
      <c r="I74" s="57"/>
    </row>
    <row r="75" spans="1:15" ht="15.6" x14ac:dyDescent="0.3">
      <c r="A75" s="56"/>
      <c r="B75" s="156"/>
      <c r="C75" s="151"/>
      <c r="D75" s="151"/>
      <c r="E75" s="161" t="s">
        <v>122</v>
      </c>
      <c r="F75" s="151"/>
      <c r="G75" s="151"/>
      <c r="H75" s="151"/>
      <c r="I75" s="57"/>
      <c r="J75" s="166"/>
    </row>
    <row r="76" spans="1:15" ht="15.6" x14ac:dyDescent="0.3">
      <c r="A76" s="57"/>
      <c r="B76" s="57"/>
      <c r="C76" s="57"/>
      <c r="D76" s="57"/>
      <c r="E76" s="158" t="s">
        <v>117</v>
      </c>
      <c r="F76" s="57"/>
      <c r="G76" s="57"/>
      <c r="H76" s="57"/>
      <c r="I76" s="57"/>
      <c r="J76" s="107"/>
      <c r="K76" s="160"/>
      <c r="L76" s="160"/>
    </row>
    <row r="77" spans="1:15" ht="15" x14ac:dyDescent="0.25">
      <c r="A77" s="57"/>
      <c r="B77" s="60" t="s">
        <v>113</v>
      </c>
      <c r="C77" s="57"/>
      <c r="D77" s="57"/>
      <c r="E77" s="111">
        <f>E70+$H$44</f>
        <v>-6957.1124086697973</v>
      </c>
      <c r="F77" s="57"/>
      <c r="G77" s="57">
        <v>30</v>
      </c>
      <c r="H77" s="57" t="s">
        <v>114</v>
      </c>
      <c r="I77" s="57"/>
      <c r="J77" s="163"/>
      <c r="K77" s="163"/>
      <c r="L77" s="160"/>
    </row>
    <row r="78" spans="1:15" ht="15" x14ac:dyDescent="0.25">
      <c r="A78" s="57"/>
      <c r="B78" s="60"/>
      <c r="C78" s="57"/>
      <c r="D78" s="57"/>
      <c r="E78" s="111">
        <f t="shared" ref="E78:E79" si="3">E71+$H$44</f>
        <v>-10710.821417897982</v>
      </c>
      <c r="F78" s="57"/>
      <c r="G78" s="57">
        <v>25</v>
      </c>
      <c r="H78" s="57" t="s">
        <v>114</v>
      </c>
      <c r="I78" s="57"/>
      <c r="J78" s="163"/>
      <c r="K78" s="163"/>
      <c r="L78" s="160"/>
    </row>
    <row r="79" spans="1:15" ht="15" x14ac:dyDescent="0.25">
      <c r="A79" s="57"/>
      <c r="B79" s="57"/>
      <c r="C79" s="57"/>
      <c r="D79" s="57"/>
      <c r="E79" s="111">
        <f t="shared" si="3"/>
        <v>-16402.769812500388</v>
      </c>
      <c r="F79" s="57"/>
      <c r="G79" s="57">
        <v>20</v>
      </c>
      <c r="H79" s="57" t="s">
        <v>114</v>
      </c>
      <c r="I79" s="57"/>
      <c r="J79" s="163"/>
      <c r="K79" s="163"/>
      <c r="L79" s="160"/>
    </row>
    <row r="80" spans="1:15" ht="15" x14ac:dyDescent="0.25">
      <c r="A80" s="57"/>
      <c r="B80" s="57"/>
      <c r="C80" s="57"/>
      <c r="D80" s="57"/>
      <c r="E80" s="57"/>
      <c r="F80" s="57"/>
      <c r="G80" s="57"/>
      <c r="H80" s="57"/>
      <c r="I80" s="57"/>
    </row>
    <row r="81" spans="1:9" ht="15" x14ac:dyDescent="0.25">
      <c r="A81" s="57"/>
      <c r="B81" s="57"/>
      <c r="C81" s="57"/>
      <c r="D81" s="57"/>
      <c r="E81" s="57"/>
      <c r="F81" s="57"/>
      <c r="G81" s="57"/>
      <c r="H81" s="57"/>
      <c r="I81" s="57"/>
    </row>
    <row r="82" spans="1:9" ht="15" x14ac:dyDescent="0.25">
      <c r="A82" s="57"/>
      <c r="B82" s="57"/>
      <c r="C82" s="57"/>
      <c r="D82" s="57"/>
      <c r="E82" s="57"/>
      <c r="F82" s="57"/>
      <c r="G82" s="57"/>
      <c r="H82" s="57"/>
      <c r="I82" s="57"/>
    </row>
    <row r="83" spans="1:9" ht="15" x14ac:dyDescent="0.25">
      <c r="A83" s="57"/>
      <c r="B83" s="57"/>
      <c r="C83" s="57"/>
      <c r="D83" s="57"/>
      <c r="E83" s="57"/>
      <c r="F83" s="57"/>
      <c r="G83" s="57"/>
      <c r="H83" s="57"/>
      <c r="I83" s="57"/>
    </row>
    <row r="84" spans="1:9" ht="15" x14ac:dyDescent="0.25">
      <c r="A84" s="57"/>
      <c r="B84" s="57"/>
      <c r="C84" s="57"/>
      <c r="D84" s="57"/>
      <c r="E84" s="57"/>
      <c r="F84" s="57"/>
      <c r="G84" s="57"/>
      <c r="H84" s="57"/>
      <c r="I84" s="57"/>
    </row>
    <row r="85" spans="1:9" ht="15" x14ac:dyDescent="0.25">
      <c r="A85" s="57"/>
      <c r="B85" s="57"/>
      <c r="C85" s="57"/>
      <c r="D85" s="57"/>
      <c r="E85" s="57"/>
      <c r="F85" s="57"/>
      <c r="G85" s="57"/>
      <c r="H85" s="57"/>
      <c r="I85" s="57"/>
    </row>
    <row r="86" spans="1:9" ht="15" x14ac:dyDescent="0.25">
      <c r="A86" s="57"/>
      <c r="B86" s="57"/>
      <c r="C86" s="57"/>
      <c r="D86" s="57"/>
      <c r="E86" s="57"/>
      <c r="F86" s="57"/>
      <c r="G86" s="57"/>
      <c r="H86" s="57"/>
      <c r="I86" s="57"/>
    </row>
    <row r="87" spans="1:9" ht="15" x14ac:dyDescent="0.25">
      <c r="A87" s="57"/>
      <c r="B87" s="57"/>
      <c r="C87" s="57"/>
      <c r="D87" s="57"/>
      <c r="E87" s="57"/>
      <c r="F87" s="57"/>
      <c r="G87" s="57"/>
      <c r="H87" s="57"/>
      <c r="I87" s="57"/>
    </row>
    <row r="88" spans="1:9" ht="15" x14ac:dyDescent="0.25">
      <c r="A88" s="57"/>
      <c r="B88" s="57"/>
      <c r="C88" s="57"/>
      <c r="D88" s="57"/>
      <c r="E88" s="57"/>
      <c r="F88" s="57"/>
      <c r="G88" s="57"/>
      <c r="H88" s="75"/>
      <c r="I88" s="57"/>
    </row>
    <row r="89" spans="1:9" ht="15" x14ac:dyDescent="0.25">
      <c r="A89" s="57"/>
      <c r="B89" s="57"/>
      <c r="C89" s="57"/>
      <c r="D89" s="57"/>
      <c r="E89" s="57"/>
      <c r="F89" s="57"/>
      <c r="G89" s="57"/>
      <c r="H89" s="57"/>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57"/>
      <c r="C93" s="57"/>
      <c r="D93" s="57"/>
      <c r="E93" s="57"/>
      <c r="F93" s="57"/>
      <c r="G93" s="57"/>
      <c r="H93" s="57"/>
      <c r="I93" s="57"/>
    </row>
    <row r="94" spans="1:9" ht="15" x14ac:dyDescent="0.25">
      <c r="A94" s="57"/>
      <c r="B94" s="72"/>
      <c r="C94" s="72"/>
      <c r="D94" s="72"/>
      <c r="E94" s="72"/>
      <c r="F94" s="72"/>
      <c r="G94" s="72"/>
      <c r="H94" s="72"/>
      <c r="I94" s="72"/>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72"/>
      <c r="C97" s="72"/>
      <c r="D97" s="72"/>
      <c r="E97" s="72"/>
      <c r="F97" s="72"/>
      <c r="G97" s="72"/>
      <c r="H97" s="72"/>
      <c r="I97" s="72"/>
    </row>
    <row r="98" spans="1:9" ht="15" x14ac:dyDescent="0.25">
      <c r="A98" s="57"/>
      <c r="B98" s="82"/>
      <c r="C98" s="82"/>
      <c r="D98" s="82"/>
      <c r="E98" s="82"/>
      <c r="F98" s="82"/>
      <c r="G98" s="82"/>
      <c r="H98" s="57"/>
      <c r="I98" s="57"/>
    </row>
    <row r="99" spans="1:9" ht="15" x14ac:dyDescent="0.25">
      <c r="B99" s="83"/>
      <c r="C99" s="83"/>
      <c r="D99" s="83"/>
      <c r="E99" s="83"/>
      <c r="F99" s="84"/>
      <c r="G99" s="83"/>
    </row>
  </sheetData>
  <sheetProtection algorithmName="SHA-512" hashValue="8mHGuPBo0JfjRaunCnXGJJFJ0ZKw4vlM1pWetp1+TddXOm4pJ2a7op2Ciz0Yy/MacjJF/iWKy8TtQE17RYY5vw==" saltValue="yz3lVYIoJPjxaXKJBEVVGg==" spinCount="100000" sheet="1" objects="1" selectLockedCells="1"/>
  <mergeCells count="3">
    <mergeCell ref="A1:G1"/>
    <mergeCell ref="F2:J2"/>
    <mergeCell ref="B62:I62"/>
  </mergeCells>
  <pageMargins left="0.75" right="0.75" top="1" bottom="1" header="0.5" footer="0.5"/>
  <pageSetup paperSize="9" scale="79" orientation="portrait" r:id="rId1"/>
  <headerFooter alignWithMargins="0">
    <oddFooter>&amp;CThis is based on estimated costs and returns.</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60006-C9B5-4A01-8B62-80577E76A0B3}">
  <sheetPr codeName="Sheet8">
    <pageSetUpPr fitToPage="1"/>
  </sheetPr>
  <dimension ref="A1:O99"/>
  <sheetViews>
    <sheetView topLeftCell="A10" zoomScale="120" zoomScaleNormal="120" workbookViewId="0">
      <selection activeCell="G27" sqref="G27"/>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6384" width="9.109375" style="54"/>
  </cols>
  <sheetData>
    <row r="1" spans="1:10" ht="55.5" customHeight="1" x14ac:dyDescent="0.25">
      <c r="A1" s="190"/>
      <c r="B1" s="190"/>
      <c r="C1" s="190"/>
      <c r="D1" s="190"/>
      <c r="E1" s="190"/>
      <c r="F1" s="190"/>
      <c r="G1" s="190"/>
    </row>
    <row r="2" spans="1:10" ht="22.8" x14ac:dyDescent="0.4">
      <c r="B2" s="55" t="s">
        <v>24</v>
      </c>
      <c r="F2" s="192" t="s">
        <v>105</v>
      </c>
      <c r="G2" s="193"/>
      <c r="H2" s="193"/>
      <c r="I2" s="193"/>
      <c r="J2" s="193"/>
    </row>
    <row r="3" spans="1:10" ht="15.6" x14ac:dyDescent="0.3">
      <c r="J3" s="107" t="s">
        <v>96</v>
      </c>
    </row>
    <row r="4" spans="1:10" x14ac:dyDescent="0.25">
      <c r="A4" s="56"/>
      <c r="B4" s="56"/>
      <c r="C4" s="56"/>
      <c r="D4" s="56"/>
      <c r="E4" s="56"/>
      <c r="F4" s="56"/>
      <c r="G4" s="56"/>
      <c r="H4" s="56"/>
      <c r="I4" s="56"/>
    </row>
    <row r="5" spans="1:10" ht="1.5" customHeight="1" x14ac:dyDescent="0.25">
      <c r="A5" s="56"/>
      <c r="B5" s="57"/>
      <c r="C5" s="56"/>
      <c r="D5" s="58"/>
      <c r="E5" s="56"/>
      <c r="F5" s="56"/>
      <c r="G5" s="56"/>
      <c r="H5" s="56"/>
      <c r="I5" s="56"/>
    </row>
    <row r="6" spans="1:10" ht="15.6" x14ac:dyDescent="0.3">
      <c r="A6" s="57"/>
      <c r="B6" s="57" t="s">
        <v>21</v>
      </c>
      <c r="C6" s="57"/>
      <c r="D6" s="45">
        <v>600000</v>
      </c>
      <c r="E6" s="58"/>
      <c r="F6" s="57"/>
      <c r="G6" s="57"/>
      <c r="H6" s="57"/>
      <c r="I6" s="57"/>
      <c r="J6" s="106">
        <f>'p5a 10 year'!P6</f>
        <v>1057519.0386337503</v>
      </c>
    </row>
    <row r="7" spans="1:10" ht="15" x14ac:dyDescent="0.25">
      <c r="A7" s="57"/>
      <c r="B7" s="57" t="s">
        <v>92</v>
      </c>
      <c r="C7" s="57"/>
      <c r="D7" s="45">
        <f>1500+160+500+500</f>
        <v>2660</v>
      </c>
      <c r="E7" s="58"/>
      <c r="F7" s="57"/>
      <c r="G7" s="57"/>
      <c r="H7" s="57"/>
      <c r="I7" s="57"/>
    </row>
    <row r="8" spans="1:10" ht="15" x14ac:dyDescent="0.25">
      <c r="A8" s="57"/>
      <c r="B8" s="57" t="s">
        <v>93</v>
      </c>
      <c r="C8" s="57"/>
      <c r="D8" s="45">
        <v>1500</v>
      </c>
      <c r="E8" s="58"/>
      <c r="F8" s="57"/>
      <c r="G8" s="57"/>
      <c r="H8" s="57"/>
      <c r="I8" s="57"/>
    </row>
    <row r="9" spans="1:10" ht="15" x14ac:dyDescent="0.25">
      <c r="A9" s="57"/>
      <c r="B9" s="57"/>
      <c r="C9" s="57"/>
      <c r="D9" s="58"/>
      <c r="E9" s="59">
        <f>D6+D7-D8</f>
        <v>601160</v>
      </c>
      <c r="F9" s="57"/>
      <c r="G9" s="57"/>
      <c r="H9" s="57"/>
      <c r="I9" s="57"/>
    </row>
    <row r="10" spans="1:10" ht="15" x14ac:dyDescent="0.25">
      <c r="A10" s="57"/>
      <c r="B10" s="57" t="s">
        <v>94</v>
      </c>
      <c r="C10" s="57"/>
      <c r="D10" s="58"/>
      <c r="E10" s="45"/>
      <c r="F10" s="57"/>
      <c r="G10" s="57"/>
      <c r="H10" s="57"/>
      <c r="I10" s="57"/>
    </row>
    <row r="11" spans="1:10" ht="15" x14ac:dyDescent="0.25">
      <c r="A11" s="57"/>
      <c r="B11" s="57"/>
      <c r="C11" s="57"/>
      <c r="D11" s="58"/>
      <c r="E11" s="58"/>
      <c r="F11" s="57"/>
      <c r="G11" s="57"/>
      <c r="H11" s="57"/>
      <c r="I11" s="57"/>
    </row>
    <row r="12" spans="1:10" ht="15" x14ac:dyDescent="0.25">
      <c r="A12" s="57"/>
      <c r="B12" s="60" t="s">
        <v>9</v>
      </c>
      <c r="C12" s="57"/>
      <c r="D12" s="58"/>
      <c r="E12" s="59">
        <f>E9-E10</f>
        <v>601160</v>
      </c>
      <c r="F12" s="57"/>
      <c r="G12" s="57"/>
      <c r="H12" s="57"/>
      <c r="I12" s="57"/>
    </row>
    <row r="13" spans="1:10" ht="8.25" customHeight="1" x14ac:dyDescent="0.25">
      <c r="A13" s="57"/>
      <c r="B13" s="57"/>
      <c r="C13" s="57"/>
      <c r="D13" s="58"/>
      <c r="E13" s="58"/>
      <c r="F13" s="57"/>
      <c r="G13" s="57"/>
      <c r="H13" s="57"/>
      <c r="I13" s="57"/>
    </row>
    <row r="14" spans="1:10" ht="17.399999999999999" x14ac:dyDescent="0.3">
      <c r="A14" s="57"/>
      <c r="B14" s="61" t="s">
        <v>0</v>
      </c>
      <c r="C14" s="57"/>
      <c r="D14" s="57"/>
      <c r="E14" s="57"/>
      <c r="F14" s="57"/>
      <c r="G14" s="57"/>
      <c r="H14" s="57"/>
      <c r="I14" s="57"/>
    </row>
    <row r="15" spans="1:10" ht="8.25" customHeight="1" x14ac:dyDescent="0.25">
      <c r="A15" s="57"/>
      <c r="B15" s="57"/>
      <c r="C15" s="57"/>
      <c r="D15" s="57"/>
      <c r="E15" s="57"/>
      <c r="F15" s="57"/>
      <c r="G15" s="57"/>
      <c r="H15" s="57"/>
      <c r="I15" s="57"/>
    </row>
    <row r="16" spans="1:10" ht="15.6" x14ac:dyDescent="0.3">
      <c r="A16" s="57"/>
      <c r="B16" s="57" t="s">
        <v>27</v>
      </c>
      <c r="C16" s="57" t="s">
        <v>25</v>
      </c>
      <c r="D16" s="46">
        <v>51</v>
      </c>
      <c r="E16" s="57"/>
      <c r="F16" s="57"/>
      <c r="G16" s="57"/>
      <c r="H16" s="108">
        <f>D16*D17</f>
        <v>26418</v>
      </c>
      <c r="I16" s="57"/>
      <c r="J16" s="106">
        <f>'p5a 10 year'!P14</f>
        <v>34469.497970400989</v>
      </c>
    </row>
    <row r="17" spans="1:10" ht="15" x14ac:dyDescent="0.25">
      <c r="A17" s="57"/>
      <c r="B17" s="57"/>
      <c r="C17" s="57" t="s">
        <v>26</v>
      </c>
      <c r="D17" s="110">
        <v>518</v>
      </c>
      <c r="E17" s="57"/>
      <c r="F17" s="57"/>
      <c r="G17" s="57"/>
      <c r="H17" s="57"/>
      <c r="I17" s="57"/>
    </row>
    <row r="18" spans="1:10" ht="15" x14ac:dyDescent="0.25">
      <c r="A18" s="57"/>
      <c r="B18" s="57"/>
      <c r="C18" s="57"/>
      <c r="D18" s="57" t="s">
        <v>11</v>
      </c>
      <c r="E18" s="57"/>
      <c r="F18" s="57"/>
      <c r="G18" s="62">
        <f>H16/E9</f>
        <v>4.3945039590125759E-2</v>
      </c>
      <c r="H18" s="63"/>
      <c r="I18" s="57"/>
    </row>
    <row r="19" spans="1:10" ht="6.75" customHeight="1" x14ac:dyDescent="0.25">
      <c r="A19" s="57"/>
      <c r="B19" s="57"/>
      <c r="C19" s="57"/>
      <c r="D19" s="57"/>
      <c r="E19" s="57"/>
      <c r="F19" s="57"/>
      <c r="G19" s="57"/>
      <c r="H19" s="57"/>
      <c r="I19" s="57"/>
    </row>
    <row r="20" spans="1:10" ht="24" customHeight="1" x14ac:dyDescent="0.3">
      <c r="A20" s="57"/>
      <c r="B20" s="64" t="s">
        <v>1</v>
      </c>
      <c r="C20" s="65"/>
      <c r="D20" s="57"/>
      <c r="E20" s="57"/>
      <c r="F20" s="57"/>
      <c r="G20" s="57"/>
      <c r="H20" s="57"/>
      <c r="I20" s="57"/>
    </row>
    <row r="21" spans="1:10" ht="15" x14ac:dyDescent="0.25">
      <c r="A21" s="57"/>
      <c r="B21" s="57"/>
      <c r="C21" s="57"/>
      <c r="D21" s="57"/>
      <c r="E21" s="57"/>
      <c r="F21" s="57"/>
      <c r="G21" s="57"/>
      <c r="H21" s="57"/>
      <c r="I21" s="57"/>
    </row>
    <row r="22" spans="1:10" ht="15" x14ac:dyDescent="0.25">
      <c r="A22" s="57"/>
      <c r="B22" s="57" t="s">
        <v>7</v>
      </c>
      <c r="C22" s="57"/>
      <c r="D22" s="57"/>
      <c r="E22" s="57"/>
      <c r="F22" s="57"/>
      <c r="G22" s="110">
        <v>1700</v>
      </c>
      <c r="H22" s="111"/>
      <c r="I22" s="57"/>
    </row>
    <row r="23" spans="1:10" ht="15" x14ac:dyDescent="0.25">
      <c r="A23" s="57"/>
      <c r="B23" s="57" t="s">
        <v>8</v>
      </c>
      <c r="C23" s="57"/>
      <c r="D23" s="57"/>
      <c r="E23" s="57"/>
      <c r="F23" s="57"/>
      <c r="G23" s="110">
        <v>50</v>
      </c>
      <c r="H23" s="111"/>
      <c r="I23" s="57"/>
    </row>
    <row r="24" spans="1:10" ht="15" x14ac:dyDescent="0.25">
      <c r="A24" s="57"/>
      <c r="B24" s="57" t="s">
        <v>14</v>
      </c>
      <c r="C24" s="57"/>
      <c r="D24" s="57"/>
      <c r="E24" s="57"/>
      <c r="F24" s="57"/>
      <c r="G24" s="110">
        <v>0</v>
      </c>
      <c r="H24" s="111"/>
      <c r="I24" s="57"/>
    </row>
    <row r="25" spans="1:10" ht="15" x14ac:dyDescent="0.25">
      <c r="A25" s="57"/>
      <c r="B25" s="57" t="s">
        <v>2</v>
      </c>
      <c r="C25" s="57"/>
      <c r="D25" s="57"/>
      <c r="E25" s="57"/>
      <c r="F25" s="57"/>
      <c r="G25" s="110">
        <v>1200</v>
      </c>
      <c r="H25" s="111"/>
      <c r="I25" s="57"/>
    </row>
    <row r="26" spans="1:10" ht="15.6" x14ac:dyDescent="0.3">
      <c r="A26" s="57"/>
      <c r="B26" s="57" t="s">
        <v>28</v>
      </c>
      <c r="C26" s="57"/>
      <c r="D26" s="57" t="s">
        <v>29</v>
      </c>
      <c r="E26" s="47">
        <v>2.29E-2</v>
      </c>
      <c r="F26" s="57"/>
      <c r="G26" s="66">
        <f>E12*E26</f>
        <v>13766.564</v>
      </c>
      <c r="H26" s="111"/>
      <c r="I26" s="98"/>
      <c r="J26" s="106">
        <f>'p5a 10 year'!P24</f>
        <v>24797.850000000002</v>
      </c>
    </row>
    <row r="27" spans="1:10" ht="15" x14ac:dyDescent="0.25">
      <c r="A27" s="57"/>
      <c r="B27" s="57" t="s">
        <v>95</v>
      </c>
      <c r="C27" s="57"/>
      <c r="D27" s="57"/>
      <c r="E27" s="57"/>
      <c r="F27" s="57"/>
      <c r="G27" s="85">
        <f>(H16*'Data to enter'!C13+300)*1.15</f>
        <v>2775.4559999999997</v>
      </c>
      <c r="H27" s="111"/>
      <c r="I27" s="57"/>
    </row>
    <row r="28" spans="1:10" ht="15" x14ac:dyDescent="0.25">
      <c r="A28" s="57"/>
      <c r="B28" s="57" t="s">
        <v>3</v>
      </c>
      <c r="C28" s="57"/>
      <c r="D28" s="57"/>
      <c r="E28" s="57"/>
      <c r="F28" s="57"/>
      <c r="G28" s="110">
        <v>2500</v>
      </c>
      <c r="H28" s="111"/>
      <c r="I28" s="57"/>
    </row>
    <row r="29" spans="1:10" ht="15" x14ac:dyDescent="0.25">
      <c r="A29" s="57"/>
      <c r="B29" s="57" t="s">
        <v>6</v>
      </c>
      <c r="C29" s="57"/>
      <c r="D29" s="57"/>
      <c r="E29" s="57"/>
      <c r="F29" s="57"/>
      <c r="G29" s="110">
        <v>2750</v>
      </c>
      <c r="H29" s="111"/>
      <c r="I29" s="57"/>
    </row>
    <row r="30" spans="1:10" ht="15" x14ac:dyDescent="0.25">
      <c r="A30" s="57"/>
      <c r="B30" s="57" t="s">
        <v>22</v>
      </c>
      <c r="C30" s="57"/>
      <c r="D30" s="57"/>
      <c r="E30" s="57"/>
      <c r="F30" s="57"/>
      <c r="G30" s="110">
        <v>100</v>
      </c>
      <c r="H30" s="111"/>
      <c r="I30" s="57"/>
    </row>
    <row r="31" spans="1:10" ht="15" x14ac:dyDescent="0.25">
      <c r="A31" s="57"/>
      <c r="B31" s="57" t="s">
        <v>23</v>
      </c>
      <c r="C31" s="57"/>
      <c r="D31" s="57"/>
      <c r="E31" s="57"/>
      <c r="F31" s="57"/>
      <c r="G31" s="110">
        <v>300</v>
      </c>
      <c r="H31" s="111"/>
      <c r="I31" s="57"/>
      <c r="J31" s="67"/>
    </row>
    <row r="32" spans="1:10" ht="15" x14ac:dyDescent="0.25">
      <c r="A32" s="57"/>
      <c r="B32" s="57" t="s">
        <v>5</v>
      </c>
      <c r="C32" s="57"/>
      <c r="D32" s="57"/>
      <c r="E32" s="57"/>
      <c r="F32" s="57"/>
      <c r="G32" s="112">
        <v>86</v>
      </c>
      <c r="H32" s="111"/>
      <c r="I32" s="57"/>
    </row>
    <row r="33" spans="1:12" ht="15" x14ac:dyDescent="0.25">
      <c r="A33" s="57"/>
      <c r="B33" s="57"/>
      <c r="C33" s="57"/>
      <c r="D33" s="57"/>
      <c r="E33" s="57"/>
      <c r="F33" s="57"/>
      <c r="G33" s="111"/>
      <c r="H33" s="111"/>
      <c r="I33" s="57"/>
    </row>
    <row r="34" spans="1:12" ht="18" thickBot="1" x14ac:dyDescent="0.35">
      <c r="A34" s="57"/>
      <c r="B34" s="64" t="s">
        <v>4</v>
      </c>
      <c r="C34" s="64"/>
      <c r="D34" s="57"/>
      <c r="E34" s="57"/>
      <c r="F34" s="57"/>
      <c r="G34" s="111"/>
      <c r="H34" s="113">
        <f>SUM(G22:G32)</f>
        <v>25228.019999999997</v>
      </c>
      <c r="I34" s="57"/>
      <c r="J34" s="106">
        <f>'p5a 10 year'!P32</f>
        <v>39752.450436438798</v>
      </c>
    </row>
    <row r="35" spans="1:12" ht="15" x14ac:dyDescent="0.25">
      <c r="A35" s="57"/>
      <c r="B35" s="57"/>
      <c r="C35" s="57"/>
      <c r="D35" s="57"/>
      <c r="E35" s="57"/>
      <c r="F35" s="57"/>
      <c r="G35" s="111"/>
      <c r="H35" s="111"/>
      <c r="I35" s="57"/>
      <c r="J35" s="95"/>
    </row>
    <row r="36" spans="1:12" ht="15.6" x14ac:dyDescent="0.3">
      <c r="A36" s="57"/>
      <c r="B36" s="68" t="s">
        <v>10</v>
      </c>
      <c r="C36" s="68"/>
      <c r="D36" s="68"/>
      <c r="E36" s="57"/>
      <c r="F36" s="57"/>
      <c r="G36" s="111"/>
      <c r="H36" s="66">
        <f>H16-H34</f>
        <v>1189.9800000000032</v>
      </c>
      <c r="I36" s="57"/>
      <c r="J36" s="106">
        <f>J16-J34</f>
        <v>-5282.9524660378083</v>
      </c>
    </row>
    <row r="37" spans="1:12" ht="15" x14ac:dyDescent="0.25">
      <c r="A37" s="57"/>
      <c r="B37" s="57"/>
      <c r="C37" s="57"/>
      <c r="D37" s="57"/>
      <c r="E37" s="57"/>
      <c r="F37" s="57"/>
      <c r="G37" s="111"/>
      <c r="H37" s="111"/>
      <c r="I37" s="57"/>
      <c r="J37" s="95"/>
    </row>
    <row r="38" spans="1:12" ht="15" x14ac:dyDescent="0.25">
      <c r="A38" s="57"/>
      <c r="B38" s="60" t="s">
        <v>12</v>
      </c>
      <c r="C38" s="60"/>
      <c r="D38" s="57"/>
      <c r="E38" s="57" t="s">
        <v>15</v>
      </c>
      <c r="F38" s="57"/>
      <c r="G38" s="111"/>
      <c r="H38" s="66">
        <v>0</v>
      </c>
      <c r="I38" s="57"/>
      <c r="J38" s="95"/>
    </row>
    <row r="39" spans="1:12" ht="15.6" x14ac:dyDescent="0.3">
      <c r="A39" s="57"/>
      <c r="B39" s="57"/>
      <c r="C39" s="57"/>
      <c r="D39" s="57"/>
      <c r="E39" s="57" t="s">
        <v>16</v>
      </c>
      <c r="F39" s="57"/>
      <c r="G39" s="111"/>
      <c r="H39" s="110">
        <v>2000</v>
      </c>
      <c r="I39" s="57"/>
      <c r="J39" s="106">
        <f>'p5a 10 year'!P37</f>
        <v>150.16937255859375</v>
      </c>
    </row>
    <row r="40" spans="1:12" ht="15" x14ac:dyDescent="0.25">
      <c r="A40" s="57"/>
      <c r="B40" s="57"/>
      <c r="C40" s="57"/>
      <c r="D40" s="57"/>
      <c r="E40" s="57"/>
      <c r="F40" s="57"/>
      <c r="G40" s="111"/>
      <c r="H40" s="111"/>
      <c r="I40" s="57"/>
      <c r="J40" s="95"/>
    </row>
    <row r="41" spans="1:12" ht="15" x14ac:dyDescent="0.25">
      <c r="A41" s="57"/>
      <c r="B41" s="57"/>
      <c r="C41" s="57"/>
      <c r="D41" s="57"/>
      <c r="E41" s="57"/>
      <c r="F41" s="57"/>
      <c r="G41" s="111"/>
      <c r="H41" s="111"/>
      <c r="I41" s="57"/>
      <c r="J41" s="95"/>
    </row>
    <row r="42" spans="1:12" ht="16.2" thickBot="1" x14ac:dyDescent="0.35">
      <c r="A42" s="57"/>
      <c r="B42" s="60" t="s">
        <v>13</v>
      </c>
      <c r="C42" s="60"/>
      <c r="D42" s="60"/>
      <c r="E42" s="60"/>
      <c r="F42" s="60"/>
      <c r="G42" s="66"/>
      <c r="H42" s="114">
        <f>H36-H38-H39-H40</f>
        <v>-810.0199999999968</v>
      </c>
      <c r="I42" s="57"/>
      <c r="J42" s="106">
        <f>J36-J39</f>
        <v>-5433.1218385964021</v>
      </c>
    </row>
    <row r="43" spans="1:12" ht="15.6" thickTop="1" x14ac:dyDescent="0.25">
      <c r="A43" s="57"/>
      <c r="B43" s="60"/>
      <c r="C43" s="60"/>
      <c r="D43" s="60"/>
      <c r="E43" s="60"/>
      <c r="F43" s="60"/>
      <c r="G43" s="66"/>
      <c r="H43" s="66"/>
      <c r="I43" s="57"/>
      <c r="J43" s="95"/>
    </row>
    <row r="44" spans="1:12" ht="17.399999999999999" x14ac:dyDescent="0.3">
      <c r="A44" s="57"/>
      <c r="B44" s="70" t="s">
        <v>30</v>
      </c>
      <c r="C44" s="60"/>
      <c r="D44" s="60"/>
      <c r="E44" s="71"/>
      <c r="F44" s="60"/>
      <c r="G44" s="66"/>
      <c r="H44" s="66">
        <f>IF(H42&lt;0,0,-(H42*$G$45*$E$45)+-(H42*$G$46*$E$46))</f>
        <v>0</v>
      </c>
      <c r="I44" s="66"/>
      <c r="J44" s="66">
        <f t="shared" ref="J44" si="0">IF(J42&lt;0,0,-(J42*$G$45*$E$45)+-(J42*$G$46*$E$46))</f>
        <v>0</v>
      </c>
      <c r="L44" s="67" t="s">
        <v>86</v>
      </c>
    </row>
    <row r="45" spans="1:12" ht="15" x14ac:dyDescent="0.25">
      <c r="A45" s="57"/>
      <c r="B45" s="60"/>
      <c r="C45" s="60" t="s">
        <v>32</v>
      </c>
      <c r="D45" s="60" t="s">
        <v>31</v>
      </c>
      <c r="E45" s="47">
        <v>0.33</v>
      </c>
      <c r="F45" s="60" t="s">
        <v>33</v>
      </c>
      <c r="G45" s="48">
        <v>0.99</v>
      </c>
      <c r="H45" s="69"/>
      <c r="I45" s="57"/>
      <c r="J45" s="95"/>
      <c r="L45" s="67" t="s">
        <v>87</v>
      </c>
    </row>
    <row r="46" spans="1:12" ht="15" x14ac:dyDescent="0.25">
      <c r="A46" s="57"/>
      <c r="B46" s="60"/>
      <c r="C46" s="60" t="s">
        <v>34</v>
      </c>
      <c r="D46" s="60"/>
      <c r="E46" s="47">
        <v>0.17499999999999999</v>
      </c>
      <c r="F46" s="60"/>
      <c r="G46" s="48">
        <v>0.01</v>
      </c>
      <c r="H46" s="69"/>
      <c r="I46" s="57"/>
      <c r="J46" s="95"/>
      <c r="L46" s="67" t="s">
        <v>85</v>
      </c>
    </row>
    <row r="47" spans="1:12" ht="15" x14ac:dyDescent="0.25">
      <c r="A47" s="57"/>
      <c r="B47" s="72"/>
      <c r="C47" s="72"/>
      <c r="D47" s="72"/>
      <c r="E47" s="72"/>
      <c r="F47" s="72"/>
      <c r="G47" s="72"/>
      <c r="H47" s="72"/>
      <c r="I47" s="72"/>
      <c r="J47" s="95"/>
    </row>
    <row r="48" spans="1:12" ht="18" thickBot="1" x14ac:dyDescent="0.35">
      <c r="A48" s="57"/>
      <c r="B48" s="60" t="s">
        <v>36</v>
      </c>
      <c r="C48" s="72"/>
      <c r="D48" s="72"/>
      <c r="E48" s="72"/>
      <c r="F48" s="72"/>
      <c r="G48" s="72"/>
      <c r="H48" s="73">
        <f>H36+H44</f>
        <v>1189.9800000000032</v>
      </c>
      <c r="I48" s="74"/>
      <c r="J48" s="109">
        <f>J36+J44</f>
        <v>-5282.9524660378083</v>
      </c>
    </row>
    <row r="49" spans="1:10" ht="15.6" thickTop="1" x14ac:dyDescent="0.25">
      <c r="A49" s="57"/>
      <c r="B49" s="57"/>
      <c r="C49" s="57"/>
      <c r="D49" s="57"/>
      <c r="E49" s="57"/>
      <c r="F49" s="57"/>
      <c r="G49" s="63"/>
      <c r="H49" s="57"/>
      <c r="I49" s="57"/>
    </row>
    <row r="50" spans="1:10" ht="15.6" x14ac:dyDescent="0.3">
      <c r="A50" s="57"/>
      <c r="B50" s="60" t="s">
        <v>17</v>
      </c>
      <c r="C50" s="57"/>
      <c r="D50" s="57"/>
      <c r="E50" s="57"/>
      <c r="F50" s="57"/>
      <c r="G50" s="63"/>
      <c r="H50" s="59">
        <f>H48/52</f>
        <v>22.884230769230832</v>
      </c>
      <c r="I50" s="58"/>
      <c r="J50" s="115">
        <f>J48/52</f>
        <v>-101.59523973149632</v>
      </c>
    </row>
    <row r="51" spans="1:10" ht="15" x14ac:dyDescent="0.25">
      <c r="A51" s="57"/>
      <c r="B51" s="57"/>
      <c r="C51" s="57"/>
      <c r="D51" s="57"/>
      <c r="E51" s="57"/>
      <c r="F51" s="57"/>
      <c r="G51" s="63"/>
      <c r="H51" s="75"/>
      <c r="I51" s="57"/>
    </row>
    <row r="52" spans="1:10" ht="15" x14ac:dyDescent="0.25">
      <c r="A52" s="57"/>
      <c r="B52" s="57" t="s">
        <v>19</v>
      </c>
      <c r="C52" s="57"/>
      <c r="D52" s="57"/>
      <c r="E52" s="57"/>
      <c r="F52" s="57"/>
      <c r="G52" s="62" t="e">
        <f>H48/E10</f>
        <v>#DIV/0!</v>
      </c>
      <c r="H52" s="69" t="s">
        <v>18</v>
      </c>
      <c r="I52" s="57"/>
    </row>
    <row r="53" spans="1:10" ht="15" x14ac:dyDescent="0.25">
      <c r="A53" s="57"/>
      <c r="B53" s="57"/>
      <c r="C53" s="57"/>
      <c r="D53" s="57"/>
      <c r="E53" s="63"/>
      <c r="F53" s="57"/>
      <c r="G53" s="76"/>
      <c r="H53" s="57"/>
      <c r="I53" s="57"/>
    </row>
    <row r="54" spans="1:10" ht="15" x14ac:dyDescent="0.25">
      <c r="A54" s="57"/>
      <c r="B54" s="57" t="s">
        <v>35</v>
      </c>
      <c r="C54" s="57"/>
      <c r="D54" s="57"/>
      <c r="E54" s="47">
        <v>0.03</v>
      </c>
      <c r="F54" s="57"/>
      <c r="G54" s="63"/>
      <c r="H54" s="69">
        <f>E9*E54</f>
        <v>18034.8</v>
      </c>
      <c r="I54" s="57"/>
    </row>
    <row r="55" spans="1:10" ht="15" x14ac:dyDescent="0.25">
      <c r="A55" s="57"/>
      <c r="B55" s="57"/>
      <c r="C55" s="57"/>
      <c r="D55" s="57"/>
      <c r="E55" s="57"/>
      <c r="F55" s="57"/>
      <c r="G55" s="63"/>
      <c r="H55" s="75"/>
      <c r="I55" s="57"/>
    </row>
    <row r="56" spans="1:10" ht="15" x14ac:dyDescent="0.25">
      <c r="A56" s="57"/>
      <c r="B56" s="72" t="s">
        <v>20</v>
      </c>
      <c r="C56" s="72"/>
      <c r="D56" s="72"/>
      <c r="E56" s="72"/>
      <c r="F56" s="57"/>
      <c r="G56" s="63" t="e">
        <f>(H48+H54)/E10</f>
        <v>#DIV/0!</v>
      </c>
      <c r="H56" s="75" t="s">
        <v>18</v>
      </c>
      <c r="I56" s="57"/>
    </row>
    <row r="57" spans="1:10" ht="14.25" customHeight="1" x14ac:dyDescent="0.25">
      <c r="A57" s="57"/>
      <c r="B57" s="57"/>
      <c r="C57" s="57"/>
      <c r="D57" s="57"/>
      <c r="E57" s="57"/>
      <c r="F57" s="57"/>
      <c r="G57" s="63"/>
      <c r="H57" s="75"/>
      <c r="I57" s="57"/>
    </row>
    <row r="58" spans="1:10" ht="15" hidden="1" x14ac:dyDescent="0.25">
      <c r="A58" s="57"/>
      <c r="B58" s="77"/>
      <c r="C58" s="77"/>
      <c r="D58" s="77"/>
      <c r="E58" s="77"/>
      <c r="F58" s="77"/>
      <c r="G58" s="78"/>
      <c r="H58" s="77"/>
      <c r="I58" s="77"/>
      <c r="J58" s="79"/>
    </row>
    <row r="59" spans="1:10" hidden="1" x14ac:dyDescent="0.25">
      <c r="B59" s="79"/>
      <c r="C59" s="79"/>
      <c r="D59" s="79"/>
      <c r="E59" s="79"/>
      <c r="F59" s="79"/>
      <c r="G59" s="79"/>
      <c r="H59" s="79"/>
      <c r="I59" s="79"/>
      <c r="J59" s="79"/>
    </row>
    <row r="60" spans="1:10" hidden="1" x14ac:dyDescent="0.25">
      <c r="A60" s="56"/>
      <c r="B60" s="80"/>
      <c r="C60" s="81"/>
      <c r="D60" s="80"/>
      <c r="E60" s="80"/>
      <c r="F60" s="80"/>
      <c r="G60" s="80"/>
      <c r="H60" s="80"/>
      <c r="I60" s="80"/>
      <c r="J60" s="79"/>
    </row>
    <row r="61" spans="1:10" hidden="1" x14ac:dyDescent="0.25">
      <c r="A61" s="56"/>
      <c r="B61" s="56"/>
      <c r="C61" s="56"/>
      <c r="D61" s="56"/>
      <c r="E61" s="56"/>
      <c r="F61" s="56"/>
      <c r="G61" s="56"/>
      <c r="H61" s="56"/>
      <c r="I61" s="56"/>
    </row>
    <row r="62" spans="1:10" ht="29.4" x14ac:dyDescent="0.45">
      <c r="A62" s="56"/>
      <c r="B62" s="191"/>
      <c r="C62" s="191"/>
      <c r="D62" s="191"/>
      <c r="E62" s="191"/>
      <c r="F62" s="191"/>
      <c r="G62" s="191"/>
      <c r="H62" s="191"/>
      <c r="I62" s="191"/>
    </row>
    <row r="63" spans="1:10" ht="29.4" x14ac:dyDescent="0.45">
      <c r="A63" s="56"/>
      <c r="B63" s="157" t="s">
        <v>115</v>
      </c>
      <c r="C63" s="172"/>
      <c r="D63" s="172"/>
      <c r="E63" s="172"/>
      <c r="F63" s="172"/>
      <c r="G63" s="172"/>
      <c r="H63" s="172"/>
      <c r="I63" s="172"/>
    </row>
    <row r="64" spans="1:10" ht="29.4" x14ac:dyDescent="0.45">
      <c r="A64" s="56"/>
      <c r="B64" s="172"/>
      <c r="C64" s="172"/>
      <c r="D64" s="172"/>
      <c r="E64" s="172"/>
      <c r="F64" s="172"/>
      <c r="G64" s="172"/>
      <c r="H64" s="172"/>
      <c r="I64" s="172"/>
    </row>
    <row r="65" spans="1:15" x14ac:dyDescent="0.25">
      <c r="A65" s="56"/>
      <c r="B65" s="56"/>
      <c r="C65" s="56"/>
      <c r="D65" s="56"/>
      <c r="E65" s="56"/>
      <c r="F65" s="56"/>
      <c r="G65" s="56"/>
      <c r="H65" s="56"/>
      <c r="I65" s="56"/>
    </row>
    <row r="66" spans="1:15" ht="15.6" x14ac:dyDescent="0.3">
      <c r="A66" s="56"/>
      <c r="B66" s="156" t="s">
        <v>112</v>
      </c>
      <c r="C66" s="151"/>
      <c r="D66" s="151"/>
      <c r="E66" s="159">
        <f>((H34-G27)+(300*1.15))/D16/(1-'Data to enter'!C13*1.15)</f>
        <v>492.30292821974598</v>
      </c>
      <c r="F66" s="151"/>
      <c r="G66" s="151" t="s">
        <v>26</v>
      </c>
      <c r="H66" s="151"/>
      <c r="I66" s="151"/>
      <c r="J66" s="160"/>
      <c r="K66" s="160"/>
      <c r="L66" s="160"/>
      <c r="M66" s="160"/>
      <c r="N66" s="160"/>
      <c r="O66" s="160"/>
    </row>
    <row r="67" spans="1:15" ht="15.6" x14ac:dyDescent="0.3">
      <c r="A67" s="56"/>
      <c r="B67" s="156"/>
      <c r="C67" s="151"/>
      <c r="D67" s="151"/>
      <c r="E67" s="161"/>
      <c r="F67" s="151"/>
      <c r="G67" s="151"/>
      <c r="H67" s="151"/>
      <c r="I67" s="151"/>
      <c r="J67" s="160"/>
      <c r="K67" s="160"/>
      <c r="L67" s="160"/>
      <c r="M67" s="160"/>
      <c r="N67" s="165"/>
      <c r="O67" s="160"/>
    </row>
    <row r="68" spans="1:15" ht="15.6" x14ac:dyDescent="0.3">
      <c r="A68" s="56"/>
      <c r="B68" s="156"/>
      <c r="C68" s="151"/>
      <c r="D68" s="151"/>
      <c r="E68" s="161" t="s">
        <v>121</v>
      </c>
      <c r="F68" s="151"/>
      <c r="G68" s="151"/>
      <c r="H68" s="151"/>
      <c r="I68" s="151"/>
      <c r="J68" s="160"/>
      <c r="K68" s="160"/>
      <c r="L68" s="160"/>
      <c r="M68" s="166" t="s">
        <v>121</v>
      </c>
      <c r="N68" s="165"/>
      <c r="O68" s="160"/>
    </row>
    <row r="69" spans="1:15" ht="15.6" x14ac:dyDescent="0.3">
      <c r="A69" s="57"/>
      <c r="B69" s="57"/>
      <c r="C69" s="57"/>
      <c r="D69" s="57"/>
      <c r="E69" s="158" t="s">
        <v>117</v>
      </c>
      <c r="F69" s="57"/>
      <c r="G69" s="57"/>
      <c r="H69" s="57"/>
      <c r="I69" s="57"/>
      <c r="J69" s="107" t="s">
        <v>116</v>
      </c>
      <c r="K69" s="160"/>
      <c r="L69" s="160"/>
      <c r="M69" s="107" t="s">
        <v>118</v>
      </c>
      <c r="N69" s="160"/>
      <c r="O69" s="160"/>
    </row>
    <row r="70" spans="1:15" ht="15" x14ac:dyDescent="0.25">
      <c r="A70" s="57"/>
      <c r="B70" s="60" t="s">
        <v>113</v>
      </c>
      <c r="C70" s="57"/>
      <c r="D70" s="57"/>
      <c r="E70" s="111">
        <f>$H$36+$G$26-(J70*12)</f>
        <v>-12765.790191769045</v>
      </c>
      <c r="F70" s="57"/>
      <c r="G70" s="57">
        <v>30</v>
      </c>
      <c r="H70" s="57" t="s">
        <v>114</v>
      </c>
      <c r="I70" s="57"/>
      <c r="J70" s="162">
        <f>PMT($E$26/12,G70*12,$E$12)*-1</f>
        <v>2310.1945159807542</v>
      </c>
      <c r="K70" s="160"/>
      <c r="L70" s="160"/>
      <c r="M70" s="163"/>
      <c r="N70" s="163">
        <f>(($H$34-$G$26-$G$27+J70*12)+(300*1.15))/$D$16/(1-'Data to enter'!$C$13*1.15)</f>
        <v>793.67137841774729</v>
      </c>
      <c r="O70" s="160"/>
    </row>
    <row r="71" spans="1:15" ht="15" x14ac:dyDescent="0.25">
      <c r="A71" s="57"/>
      <c r="B71" s="60"/>
      <c r="C71" s="57"/>
      <c r="D71" s="57"/>
      <c r="E71" s="111">
        <f t="shared" ref="E71:E72" si="1">$H$36+$G$26-(J71*12)</f>
        <v>-16648.679082930896</v>
      </c>
      <c r="F71" s="57"/>
      <c r="G71" s="57">
        <v>25</v>
      </c>
      <c r="H71" s="57" t="s">
        <v>114</v>
      </c>
      <c r="I71" s="57"/>
      <c r="J71" s="162">
        <f t="shared" ref="J71:J72" si="2">PMT($E$26/12,G71*12,$E$12)*-1</f>
        <v>2633.7685902442413</v>
      </c>
      <c r="K71" s="160"/>
      <c r="L71" s="160"/>
      <c r="M71" s="163"/>
      <c r="N71" s="163">
        <f>(($H$34-$G$26-$G$27+J71*12)+(300*1.15))/$D$16/(1-'Data to enter'!$C$13*1.15)</f>
        <v>877.5205813883324</v>
      </c>
      <c r="O71" s="160"/>
    </row>
    <row r="72" spans="1:15" ht="15" x14ac:dyDescent="0.25">
      <c r="A72" s="57"/>
      <c r="B72" s="57"/>
      <c r="C72" s="57"/>
      <c r="D72" s="57"/>
      <c r="E72" s="111">
        <f t="shared" si="1"/>
        <v>-22536.509795469923</v>
      </c>
      <c r="F72" s="57"/>
      <c r="G72" s="57">
        <v>20</v>
      </c>
      <c r="H72" s="57" t="s">
        <v>114</v>
      </c>
      <c r="I72" s="57"/>
      <c r="J72" s="162">
        <f t="shared" si="2"/>
        <v>3124.4211496224934</v>
      </c>
      <c r="K72" s="160"/>
      <c r="L72" s="160"/>
      <c r="M72" s="163"/>
      <c r="N72" s="163">
        <f>(($H$34-$G$26-$G$27+J72*12)+(300*1.15))/$D$16/(1-'Data to enter'!$C$13*1.15)</f>
        <v>1004.6655825228885</v>
      </c>
      <c r="O72" s="160"/>
    </row>
    <row r="73" spans="1:15" ht="15" x14ac:dyDescent="0.25">
      <c r="A73" s="57"/>
      <c r="B73" s="57"/>
      <c r="C73" s="57"/>
      <c r="D73" s="57"/>
      <c r="E73" s="57"/>
      <c r="F73" s="57"/>
      <c r="G73" s="57"/>
      <c r="H73" s="57"/>
      <c r="I73" s="57"/>
    </row>
    <row r="74" spans="1:15" ht="15" x14ac:dyDescent="0.25">
      <c r="A74" s="57"/>
      <c r="B74" s="57"/>
      <c r="C74" s="57"/>
      <c r="D74" s="57"/>
      <c r="E74" s="57"/>
      <c r="F74" s="57"/>
      <c r="G74" s="57"/>
      <c r="H74" s="57"/>
      <c r="I74" s="57"/>
    </row>
    <row r="75" spans="1:15" ht="15.6" x14ac:dyDescent="0.3">
      <c r="A75" s="56"/>
      <c r="B75" s="156"/>
      <c r="C75" s="151"/>
      <c r="D75" s="151"/>
      <c r="E75" s="161" t="s">
        <v>122</v>
      </c>
      <c r="F75" s="151"/>
      <c r="G75" s="151"/>
      <c r="H75" s="151"/>
      <c r="I75" s="57"/>
      <c r="J75" s="166"/>
    </row>
    <row r="76" spans="1:15" ht="15.6" x14ac:dyDescent="0.3">
      <c r="A76" s="57"/>
      <c r="B76" s="57"/>
      <c r="C76" s="57"/>
      <c r="D76" s="57"/>
      <c r="E76" s="158" t="s">
        <v>117</v>
      </c>
      <c r="F76" s="57"/>
      <c r="G76" s="57"/>
      <c r="H76" s="57"/>
      <c r="I76" s="57"/>
      <c r="J76" s="107"/>
      <c r="K76" s="160"/>
      <c r="L76" s="160"/>
    </row>
    <row r="77" spans="1:15" ht="15" x14ac:dyDescent="0.25">
      <c r="A77" s="57"/>
      <c r="B77" s="60" t="s">
        <v>113</v>
      </c>
      <c r="C77" s="57"/>
      <c r="D77" s="57"/>
      <c r="E77" s="111">
        <f>E70+$H$44</f>
        <v>-12765.790191769045</v>
      </c>
      <c r="F77" s="57"/>
      <c r="G77" s="57">
        <v>30</v>
      </c>
      <c r="H77" s="57" t="s">
        <v>114</v>
      </c>
      <c r="I77" s="57"/>
      <c r="J77" s="163"/>
      <c r="K77" s="163"/>
      <c r="L77" s="160"/>
    </row>
    <row r="78" spans="1:15" ht="15" x14ac:dyDescent="0.25">
      <c r="A78" s="57"/>
      <c r="B78" s="60"/>
      <c r="C78" s="57"/>
      <c r="D78" s="57"/>
      <c r="E78" s="111">
        <f t="shared" ref="E78:E79" si="3">E71+$H$44</f>
        <v>-16648.679082930896</v>
      </c>
      <c r="F78" s="57"/>
      <c r="G78" s="57">
        <v>25</v>
      </c>
      <c r="H78" s="57" t="s">
        <v>114</v>
      </c>
      <c r="I78" s="57"/>
      <c r="J78" s="163"/>
      <c r="K78" s="163"/>
      <c r="L78" s="160"/>
    </row>
    <row r="79" spans="1:15" ht="15" x14ac:dyDescent="0.25">
      <c r="A79" s="57"/>
      <c r="B79" s="57"/>
      <c r="C79" s="57"/>
      <c r="D79" s="57"/>
      <c r="E79" s="111">
        <f t="shared" si="3"/>
        <v>-22536.509795469923</v>
      </c>
      <c r="F79" s="57"/>
      <c r="G79" s="57">
        <v>20</v>
      </c>
      <c r="H79" s="57" t="s">
        <v>114</v>
      </c>
      <c r="I79" s="57"/>
      <c r="J79" s="163"/>
      <c r="K79" s="163"/>
      <c r="L79" s="160"/>
    </row>
    <row r="80" spans="1:15" ht="15" x14ac:dyDescent="0.25">
      <c r="A80" s="57"/>
      <c r="B80" s="57"/>
      <c r="C80" s="57"/>
      <c r="D80" s="57"/>
      <c r="E80" s="57"/>
      <c r="F80" s="57"/>
      <c r="G80" s="57"/>
      <c r="H80" s="57"/>
      <c r="I80" s="57"/>
    </row>
    <row r="81" spans="1:9" ht="15" x14ac:dyDescent="0.25">
      <c r="A81" s="57"/>
      <c r="B81" s="57"/>
      <c r="C81" s="57"/>
      <c r="D81" s="57"/>
      <c r="E81" s="57"/>
      <c r="F81" s="57"/>
      <c r="G81" s="57"/>
      <c r="H81" s="57"/>
      <c r="I81" s="57"/>
    </row>
    <row r="82" spans="1:9" ht="15" x14ac:dyDescent="0.25">
      <c r="A82" s="57"/>
      <c r="B82" s="57"/>
      <c r="C82" s="57"/>
      <c r="D82" s="57"/>
      <c r="E82" s="57"/>
      <c r="F82" s="57"/>
      <c r="G82" s="57"/>
      <c r="H82" s="57"/>
      <c r="I82" s="57"/>
    </row>
    <row r="83" spans="1:9" ht="15" x14ac:dyDescent="0.25">
      <c r="A83" s="57"/>
      <c r="B83" s="57"/>
      <c r="C83" s="57"/>
      <c r="D83" s="57"/>
      <c r="E83" s="57"/>
      <c r="F83" s="57"/>
      <c r="G83" s="57"/>
      <c r="H83" s="57"/>
      <c r="I83" s="57"/>
    </row>
    <row r="84" spans="1:9" ht="15" x14ac:dyDescent="0.25">
      <c r="A84" s="57"/>
      <c r="B84" s="57"/>
      <c r="C84" s="57"/>
      <c r="D84" s="57"/>
      <c r="E84" s="57"/>
      <c r="F84" s="57"/>
      <c r="G84" s="57"/>
      <c r="H84" s="57"/>
      <c r="I84" s="57"/>
    </row>
    <row r="85" spans="1:9" ht="15" x14ac:dyDescent="0.25">
      <c r="A85" s="57"/>
      <c r="B85" s="57"/>
      <c r="C85" s="57"/>
      <c r="D85" s="57"/>
      <c r="E85" s="57"/>
      <c r="F85" s="57"/>
      <c r="G85" s="57"/>
      <c r="H85" s="57"/>
      <c r="I85" s="57"/>
    </row>
    <row r="86" spans="1:9" ht="15" x14ac:dyDescent="0.25">
      <c r="A86" s="57"/>
      <c r="B86" s="57"/>
      <c r="C86" s="57"/>
      <c r="D86" s="57"/>
      <c r="E86" s="57"/>
      <c r="F86" s="57"/>
      <c r="G86" s="57"/>
      <c r="H86" s="57"/>
      <c r="I86" s="57"/>
    </row>
    <row r="87" spans="1:9" ht="15" x14ac:dyDescent="0.25">
      <c r="A87" s="57"/>
      <c r="B87" s="57"/>
      <c r="C87" s="57"/>
      <c r="D87" s="57"/>
      <c r="E87" s="57"/>
      <c r="F87" s="57"/>
      <c r="G87" s="57"/>
      <c r="H87" s="57"/>
      <c r="I87" s="57"/>
    </row>
    <row r="88" spans="1:9" ht="15" x14ac:dyDescent="0.25">
      <c r="A88" s="57"/>
      <c r="B88" s="57"/>
      <c r="C88" s="57"/>
      <c r="D88" s="57"/>
      <c r="E88" s="57"/>
      <c r="F88" s="57"/>
      <c r="G88" s="57"/>
      <c r="H88" s="75"/>
      <c r="I88" s="57"/>
    </row>
    <row r="89" spans="1:9" ht="15" x14ac:dyDescent="0.25">
      <c r="A89" s="57"/>
      <c r="B89" s="57"/>
      <c r="C89" s="57"/>
      <c r="D89" s="57"/>
      <c r="E89" s="57"/>
      <c r="F89" s="57"/>
      <c r="G89" s="57"/>
      <c r="H89" s="57"/>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57"/>
      <c r="C93" s="57"/>
      <c r="D93" s="57"/>
      <c r="E93" s="57"/>
      <c r="F93" s="57"/>
      <c r="G93" s="57"/>
      <c r="H93" s="57"/>
      <c r="I93" s="57"/>
    </row>
    <row r="94" spans="1:9" ht="15" x14ac:dyDescent="0.25">
      <c r="A94" s="57"/>
      <c r="B94" s="72"/>
      <c r="C94" s="72"/>
      <c r="D94" s="72"/>
      <c r="E94" s="72"/>
      <c r="F94" s="72"/>
      <c r="G94" s="72"/>
      <c r="H94" s="72"/>
      <c r="I94" s="72"/>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72"/>
      <c r="C97" s="72"/>
      <c r="D97" s="72"/>
      <c r="E97" s="72"/>
      <c r="F97" s="72"/>
      <c r="G97" s="72"/>
      <c r="H97" s="72"/>
      <c r="I97" s="72"/>
    </row>
    <row r="98" spans="1:9" ht="15" x14ac:dyDescent="0.25">
      <c r="A98" s="57"/>
      <c r="B98" s="82"/>
      <c r="C98" s="82"/>
      <c r="D98" s="82"/>
      <c r="E98" s="82"/>
      <c r="F98" s="82"/>
      <c r="G98" s="82"/>
      <c r="H98" s="57"/>
      <c r="I98" s="57"/>
    </row>
    <row r="99" spans="1:9" ht="15" x14ac:dyDescent="0.25">
      <c r="B99" s="83"/>
      <c r="C99" s="83"/>
      <c r="D99" s="83"/>
      <c r="E99" s="83"/>
      <c r="F99" s="84"/>
      <c r="G99" s="83"/>
    </row>
  </sheetData>
  <sheetProtection algorithmName="SHA-512" hashValue="Nw7o48SA/VftC13H4GqAkR2IVRv747HYhTzAtBXcyeym0K7sp4fsGs5LJq8L964b/7mF+Ll/nlBysVPQpUlywQ==" saltValue="MBtIKm5AFs/TtccsECqbfw==" spinCount="100000" sheet="1" selectLockedCells="1"/>
  <mergeCells count="3">
    <mergeCell ref="A1:G1"/>
    <mergeCell ref="F2:J2"/>
    <mergeCell ref="B62:I62"/>
  </mergeCells>
  <pageMargins left="0.75" right="0.75" top="1" bottom="1" header="0.5" footer="0.5"/>
  <pageSetup paperSize="9" scale="79" orientation="portrait" r:id="rId1"/>
  <headerFooter alignWithMargins="0">
    <oddFooter>&amp;CThis is based on estimated costs and returns.</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75DF1-165C-4139-8B6A-3406855D3811}">
  <sheetPr codeName="Sheet9">
    <pageSetUpPr fitToPage="1"/>
  </sheetPr>
  <dimension ref="A1:T100"/>
  <sheetViews>
    <sheetView topLeftCell="A2" zoomScale="120" zoomScaleNormal="120" workbookViewId="0">
      <selection activeCell="G28" sqref="G28"/>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6384" width="9.109375" style="54"/>
  </cols>
  <sheetData>
    <row r="1" spans="1:20" ht="55.5" customHeight="1" x14ac:dyDescent="0.25">
      <c r="A1" s="190"/>
      <c r="B1" s="190"/>
      <c r="C1" s="190"/>
      <c r="D1" s="190"/>
      <c r="E1" s="190"/>
      <c r="F1" s="190"/>
      <c r="G1" s="190"/>
    </row>
    <row r="2" spans="1:20" ht="22.8" x14ac:dyDescent="0.4">
      <c r="B2" s="55" t="s">
        <v>24</v>
      </c>
      <c r="F2" s="192" t="s">
        <v>106</v>
      </c>
      <c r="G2" s="193"/>
      <c r="H2" s="193"/>
      <c r="I2" s="193"/>
      <c r="J2" s="193"/>
    </row>
    <row r="3" spans="1:20" ht="15.6" x14ac:dyDescent="0.3">
      <c r="J3" s="107" t="s">
        <v>96</v>
      </c>
    </row>
    <row r="4" spans="1:20" x14ac:dyDescent="0.25">
      <c r="A4" s="56"/>
      <c r="B4" s="56"/>
      <c r="C4" s="56"/>
      <c r="D4" s="56"/>
      <c r="E4" s="56"/>
      <c r="F4" s="56"/>
      <c r="G4" s="56"/>
      <c r="H4" s="56"/>
      <c r="I4" s="56"/>
    </row>
    <row r="5" spans="1:20" ht="1.5" customHeight="1" x14ac:dyDescent="0.25">
      <c r="A5" s="56"/>
      <c r="B5" s="57"/>
      <c r="C5" s="56"/>
      <c r="D5" s="58"/>
      <c r="E5" s="56"/>
      <c r="F5" s="56"/>
      <c r="G5" s="56"/>
      <c r="H5" s="56"/>
      <c r="I5" s="56"/>
    </row>
    <row r="6" spans="1:20" ht="15.6" x14ac:dyDescent="0.3">
      <c r="A6" s="57"/>
      <c r="B6" s="57" t="s">
        <v>21</v>
      </c>
      <c r="C6" s="57"/>
      <c r="D6" s="45">
        <v>300000</v>
      </c>
      <c r="E6" s="58"/>
      <c r="F6" s="57"/>
      <c r="G6" s="57"/>
      <c r="H6" s="57"/>
      <c r="I6" s="57"/>
      <c r="J6" s="106">
        <f>'p5b 10 year'!P6</f>
        <v>616886.10586968751</v>
      </c>
      <c r="P6" s="96"/>
      <c r="R6" s="96"/>
      <c r="T6" s="96"/>
    </row>
    <row r="7" spans="1:20" ht="15.6" x14ac:dyDescent="0.3">
      <c r="A7" s="57"/>
      <c r="B7" s="57" t="s">
        <v>107</v>
      </c>
      <c r="C7" s="57"/>
      <c r="D7" s="45">
        <v>50000</v>
      </c>
      <c r="E7" s="58"/>
      <c r="F7" s="57"/>
      <c r="G7" s="57"/>
      <c r="H7" s="57"/>
      <c r="I7" s="57"/>
      <c r="J7" s="106"/>
    </row>
    <row r="8" spans="1:20" ht="15" x14ac:dyDescent="0.25">
      <c r="A8" s="57"/>
      <c r="B8" s="57" t="s">
        <v>92</v>
      </c>
      <c r="C8" s="57"/>
      <c r="D8" s="45">
        <v>500</v>
      </c>
      <c r="E8" s="58"/>
      <c r="F8" s="57"/>
      <c r="G8" s="57"/>
      <c r="H8" s="57"/>
      <c r="I8" s="57"/>
      <c r="O8" s="67"/>
      <c r="Q8" s="67"/>
      <c r="S8" s="125"/>
      <c r="T8" s="95"/>
    </row>
    <row r="9" spans="1:20" ht="15" x14ac:dyDescent="0.25">
      <c r="A9" s="57"/>
      <c r="B9" s="57" t="s">
        <v>93</v>
      </c>
      <c r="C9" s="57"/>
      <c r="D9" s="45">
        <v>1000</v>
      </c>
      <c r="E9" s="58"/>
      <c r="F9" s="57"/>
      <c r="G9" s="57"/>
      <c r="H9" s="57"/>
      <c r="I9" s="57"/>
      <c r="R9" s="67"/>
      <c r="S9" s="126"/>
      <c r="T9" s="95"/>
    </row>
    <row r="10" spans="1:20" ht="15" x14ac:dyDescent="0.25">
      <c r="A10" s="57"/>
      <c r="B10" s="57"/>
      <c r="C10" s="57"/>
      <c r="D10" s="58"/>
      <c r="E10" s="59">
        <f>D6+D8-D9+D7</f>
        <v>349500</v>
      </c>
      <c r="F10" s="57"/>
      <c r="G10" s="57"/>
      <c r="H10" s="57"/>
      <c r="I10" s="57"/>
      <c r="S10" s="95"/>
      <c r="T10" s="95"/>
    </row>
    <row r="11" spans="1:20" ht="15" x14ac:dyDescent="0.25">
      <c r="A11" s="57"/>
      <c r="B11" s="57" t="s">
        <v>94</v>
      </c>
      <c r="C11" s="57"/>
      <c r="D11" s="58"/>
      <c r="E11" s="45"/>
      <c r="F11" s="57"/>
      <c r="G11" s="57"/>
      <c r="H11" s="57"/>
      <c r="I11" s="57"/>
    </row>
    <row r="12" spans="1:20" ht="15" x14ac:dyDescent="0.25">
      <c r="A12" s="57"/>
      <c r="B12" s="57"/>
      <c r="C12" s="57"/>
      <c r="D12" s="58"/>
      <c r="E12" s="58"/>
      <c r="F12" s="57"/>
      <c r="G12" s="57"/>
      <c r="H12" s="57"/>
      <c r="I12" s="57"/>
      <c r="S12" s="92"/>
      <c r="T12" s="93"/>
    </row>
    <row r="13" spans="1:20" ht="15" x14ac:dyDescent="0.25">
      <c r="A13" s="57"/>
      <c r="B13" s="60" t="s">
        <v>9</v>
      </c>
      <c r="C13" s="57"/>
      <c r="D13" s="58"/>
      <c r="E13" s="59">
        <f>E10-E11</f>
        <v>349500</v>
      </c>
      <c r="F13" s="57"/>
      <c r="G13" s="57"/>
      <c r="H13" s="57"/>
      <c r="I13" s="57"/>
    </row>
    <row r="14" spans="1:20" ht="8.25" customHeight="1" x14ac:dyDescent="0.25">
      <c r="A14" s="57"/>
      <c r="B14" s="57"/>
      <c r="C14" s="57"/>
      <c r="D14" s="58"/>
      <c r="E14" s="58"/>
      <c r="F14" s="57"/>
      <c r="G14" s="57"/>
      <c r="H14" s="57"/>
      <c r="I14" s="57"/>
    </row>
    <row r="15" spans="1:20" ht="17.399999999999999" x14ac:dyDescent="0.3">
      <c r="A15" s="57"/>
      <c r="B15" s="61" t="s">
        <v>0</v>
      </c>
      <c r="C15" s="57"/>
      <c r="D15" s="57"/>
      <c r="E15" s="57"/>
      <c r="F15" s="57"/>
      <c r="G15" s="57"/>
      <c r="H15" s="57"/>
      <c r="I15" s="57"/>
    </row>
    <row r="16" spans="1:20" ht="8.25" customHeight="1" x14ac:dyDescent="0.25">
      <c r="A16" s="57"/>
      <c r="B16" s="57"/>
      <c r="C16" s="57"/>
      <c r="D16" s="57"/>
      <c r="E16" s="57"/>
      <c r="F16" s="57"/>
      <c r="G16" s="57"/>
      <c r="H16" s="57"/>
      <c r="I16" s="57"/>
    </row>
    <row r="17" spans="1:10" ht="15.6" x14ac:dyDescent="0.3">
      <c r="A17" s="57"/>
      <c r="B17" s="57" t="s">
        <v>27</v>
      </c>
      <c r="C17" s="57" t="s">
        <v>25</v>
      </c>
      <c r="D17" s="46">
        <v>52</v>
      </c>
      <c r="E17" s="57"/>
      <c r="F17" s="57"/>
      <c r="G17" s="57"/>
      <c r="H17" s="108">
        <f>D17*D18</f>
        <v>28600</v>
      </c>
      <c r="I17" s="57"/>
      <c r="J17" s="106">
        <f>'p5b 10 year'!P14</f>
        <v>37316.513057516415</v>
      </c>
    </row>
    <row r="18" spans="1:10" ht="15" x14ac:dyDescent="0.25">
      <c r="A18" s="57"/>
      <c r="B18" s="57"/>
      <c r="C18" s="57" t="s">
        <v>26</v>
      </c>
      <c r="D18" s="110">
        <v>550</v>
      </c>
      <c r="E18" s="57"/>
      <c r="F18" s="57"/>
      <c r="G18" s="57"/>
      <c r="H18" s="57"/>
      <c r="I18" s="57"/>
    </row>
    <row r="19" spans="1:10" ht="15" x14ac:dyDescent="0.25">
      <c r="A19" s="57"/>
      <c r="B19" s="57"/>
      <c r="C19" s="57"/>
      <c r="D19" s="57" t="s">
        <v>11</v>
      </c>
      <c r="E19" s="57"/>
      <c r="F19" s="57"/>
      <c r="G19" s="62">
        <f>H17/E10</f>
        <v>8.1831187410586551E-2</v>
      </c>
      <c r="H19" s="63"/>
      <c r="I19" s="57"/>
    </row>
    <row r="20" spans="1:10" ht="6.75" customHeight="1" x14ac:dyDescent="0.25">
      <c r="A20" s="57"/>
      <c r="B20" s="57"/>
      <c r="C20" s="57"/>
      <c r="D20" s="57"/>
      <c r="E20" s="57"/>
      <c r="F20" s="57"/>
      <c r="G20" s="57"/>
      <c r="H20" s="57"/>
      <c r="I20" s="57"/>
    </row>
    <row r="21" spans="1:10" ht="24" customHeight="1" x14ac:dyDescent="0.3">
      <c r="A21" s="57"/>
      <c r="B21" s="64" t="s">
        <v>1</v>
      </c>
      <c r="C21" s="65"/>
      <c r="D21" s="57"/>
      <c r="E21" s="57"/>
      <c r="F21" s="57"/>
      <c r="G21" s="57"/>
      <c r="H21" s="57"/>
      <c r="I21" s="57"/>
    </row>
    <row r="22" spans="1:10" ht="15" x14ac:dyDescent="0.25">
      <c r="A22" s="57"/>
      <c r="B22" s="57"/>
      <c r="C22" s="57"/>
      <c r="D22" s="57"/>
      <c r="E22" s="57"/>
      <c r="F22" s="57"/>
      <c r="G22" s="57"/>
      <c r="H22" s="57"/>
      <c r="I22" s="57"/>
    </row>
    <row r="23" spans="1:10" ht="15" x14ac:dyDescent="0.25">
      <c r="A23" s="57"/>
      <c r="B23" s="57" t="s">
        <v>7</v>
      </c>
      <c r="C23" s="57"/>
      <c r="D23" s="57"/>
      <c r="E23" s="57"/>
      <c r="F23" s="57"/>
      <c r="G23" s="110">
        <v>200</v>
      </c>
      <c r="H23" s="111"/>
      <c r="I23" s="57"/>
    </row>
    <row r="24" spans="1:10" ht="15" x14ac:dyDescent="0.25">
      <c r="A24" s="57"/>
      <c r="B24" s="57" t="s">
        <v>8</v>
      </c>
      <c r="C24" s="57"/>
      <c r="D24" s="57"/>
      <c r="E24" s="57"/>
      <c r="F24" s="57"/>
      <c r="G24" s="110">
        <v>50</v>
      </c>
      <c r="H24" s="111"/>
      <c r="I24" s="57"/>
    </row>
    <row r="25" spans="1:10" ht="15" x14ac:dyDescent="0.25">
      <c r="A25" s="57"/>
      <c r="B25" s="57" t="s">
        <v>14</v>
      </c>
      <c r="C25" s="57"/>
      <c r="D25" s="57"/>
      <c r="E25" s="57"/>
      <c r="F25" s="57"/>
      <c r="G25" s="110">
        <v>0</v>
      </c>
      <c r="H25" s="111"/>
      <c r="I25" s="57"/>
    </row>
    <row r="26" spans="1:10" ht="15" x14ac:dyDescent="0.25">
      <c r="A26" s="57"/>
      <c r="B26" s="57" t="s">
        <v>2</v>
      </c>
      <c r="C26" s="57"/>
      <c r="D26" s="57"/>
      <c r="E26" s="57"/>
      <c r="F26" s="57"/>
      <c r="G26" s="110">
        <v>800</v>
      </c>
      <c r="H26" s="111"/>
      <c r="I26" s="57"/>
    </row>
    <row r="27" spans="1:10" ht="15.6" x14ac:dyDescent="0.3">
      <c r="A27" s="57"/>
      <c r="B27" s="57" t="s">
        <v>28</v>
      </c>
      <c r="C27" s="57"/>
      <c r="D27" s="57" t="s">
        <v>29</v>
      </c>
      <c r="E27" s="47">
        <v>2.29E-2</v>
      </c>
      <c r="F27" s="57"/>
      <c r="G27" s="66">
        <f>E13*E27</f>
        <v>8003.55</v>
      </c>
      <c r="H27" s="111"/>
      <c r="I27" s="98"/>
      <c r="J27" s="106">
        <f>'p5b 10 year'!P24</f>
        <v>14416.875</v>
      </c>
    </row>
    <row r="28" spans="1:10" ht="15" x14ac:dyDescent="0.25">
      <c r="A28" s="57"/>
      <c r="B28" s="57" t="s">
        <v>95</v>
      </c>
      <c r="C28" s="57"/>
      <c r="D28" s="57"/>
      <c r="E28" s="57"/>
      <c r="F28" s="57"/>
      <c r="G28" s="85">
        <f>(H17*'Data to enter'!C13+300)*1.15</f>
        <v>2976.2</v>
      </c>
      <c r="H28" s="111"/>
      <c r="I28" s="57"/>
    </row>
    <row r="29" spans="1:10" ht="15" x14ac:dyDescent="0.25">
      <c r="A29" s="57"/>
      <c r="B29" s="57" t="s">
        <v>3</v>
      </c>
      <c r="C29" s="57"/>
      <c r="D29" s="57"/>
      <c r="E29" s="57"/>
      <c r="F29" s="57"/>
      <c r="G29" s="110">
        <v>1500</v>
      </c>
      <c r="H29" s="111"/>
      <c r="I29" s="57"/>
    </row>
    <row r="30" spans="1:10" ht="15" x14ac:dyDescent="0.25">
      <c r="A30" s="57"/>
      <c r="B30" s="57" t="s">
        <v>6</v>
      </c>
      <c r="C30" s="57"/>
      <c r="D30" s="57"/>
      <c r="E30" s="57"/>
      <c r="F30" s="57"/>
      <c r="G30" s="110">
        <v>500</v>
      </c>
      <c r="H30" s="111"/>
      <c r="I30" s="57"/>
    </row>
    <row r="31" spans="1:10" ht="15" x14ac:dyDescent="0.25">
      <c r="A31" s="57"/>
      <c r="B31" s="57" t="s">
        <v>22</v>
      </c>
      <c r="C31" s="57"/>
      <c r="D31" s="57"/>
      <c r="E31" s="57"/>
      <c r="F31" s="57"/>
      <c r="G31" s="110">
        <v>100</v>
      </c>
      <c r="H31" s="111"/>
      <c r="I31" s="57"/>
    </row>
    <row r="32" spans="1:10" ht="15" x14ac:dyDescent="0.25">
      <c r="A32" s="57"/>
      <c r="B32" s="57" t="s">
        <v>23</v>
      </c>
      <c r="C32" s="57"/>
      <c r="D32" s="57"/>
      <c r="E32" s="57"/>
      <c r="F32" s="57"/>
      <c r="G32" s="110">
        <v>300</v>
      </c>
      <c r="H32" s="111"/>
      <c r="I32" s="57"/>
      <c r="J32" s="67"/>
    </row>
    <row r="33" spans="1:12" ht="15" x14ac:dyDescent="0.25">
      <c r="A33" s="57"/>
      <c r="B33" s="57" t="s">
        <v>5</v>
      </c>
      <c r="C33" s="57"/>
      <c r="D33" s="57"/>
      <c r="E33" s="57"/>
      <c r="F33" s="57"/>
      <c r="G33" s="112">
        <v>86</v>
      </c>
      <c r="H33" s="111"/>
      <c r="I33" s="57"/>
    </row>
    <row r="34" spans="1:12" ht="15" x14ac:dyDescent="0.25">
      <c r="A34" s="57"/>
      <c r="B34" s="57"/>
      <c r="C34" s="57"/>
      <c r="D34" s="57"/>
      <c r="E34" s="57"/>
      <c r="F34" s="57"/>
      <c r="G34" s="111"/>
      <c r="H34" s="111"/>
      <c r="I34" s="57"/>
    </row>
    <row r="35" spans="1:12" ht="18" thickBot="1" x14ac:dyDescent="0.35">
      <c r="A35" s="57"/>
      <c r="B35" s="64" t="s">
        <v>4</v>
      </c>
      <c r="C35" s="64"/>
      <c r="D35" s="57"/>
      <c r="E35" s="57"/>
      <c r="F35" s="57"/>
      <c r="G35" s="111"/>
      <c r="H35" s="113">
        <f>SUM(G23:G33)</f>
        <v>14515.75</v>
      </c>
      <c r="I35" s="57"/>
      <c r="J35" s="106">
        <f>'p5b 10 year'!P32</f>
        <v>22913.818927732813</v>
      </c>
    </row>
    <row r="36" spans="1:12" ht="15" x14ac:dyDescent="0.25">
      <c r="A36" s="57"/>
      <c r="B36" s="57"/>
      <c r="C36" s="57"/>
      <c r="D36" s="57"/>
      <c r="E36" s="57"/>
      <c r="F36" s="57"/>
      <c r="G36" s="111"/>
      <c r="H36" s="111"/>
      <c r="I36" s="57"/>
      <c r="J36" s="95"/>
    </row>
    <row r="37" spans="1:12" ht="15.6" x14ac:dyDescent="0.3">
      <c r="A37" s="57"/>
      <c r="B37" s="68" t="s">
        <v>10</v>
      </c>
      <c r="C37" s="68"/>
      <c r="D37" s="68"/>
      <c r="E37" s="57"/>
      <c r="F37" s="57"/>
      <c r="G37" s="111"/>
      <c r="H37" s="66">
        <f>H17-H35</f>
        <v>14084.25</v>
      </c>
      <c r="I37" s="57"/>
      <c r="J37" s="106">
        <f>J17-J35</f>
        <v>14402.694129783602</v>
      </c>
    </row>
    <row r="38" spans="1:12" ht="15" x14ac:dyDescent="0.25">
      <c r="A38" s="57"/>
      <c r="B38" s="57"/>
      <c r="C38" s="57"/>
      <c r="D38" s="57"/>
      <c r="E38" s="57"/>
      <c r="F38" s="57"/>
      <c r="G38" s="111"/>
      <c r="H38" s="111"/>
      <c r="I38" s="57"/>
      <c r="J38" s="95"/>
    </row>
    <row r="39" spans="1:12" ht="15" x14ac:dyDescent="0.25">
      <c r="A39" s="57"/>
      <c r="B39" s="60" t="s">
        <v>12</v>
      </c>
      <c r="C39" s="60"/>
      <c r="D39" s="57"/>
      <c r="E39" s="57" t="s">
        <v>15</v>
      </c>
      <c r="F39" s="57"/>
      <c r="G39" s="111"/>
      <c r="H39" s="66">
        <v>0</v>
      </c>
      <c r="I39" s="57"/>
      <c r="J39" s="95"/>
    </row>
    <row r="40" spans="1:12" ht="15.6" x14ac:dyDescent="0.3">
      <c r="A40" s="57"/>
      <c r="B40" s="57"/>
      <c r="C40" s="57"/>
      <c r="D40" s="57"/>
      <c r="E40" s="57" t="s">
        <v>16</v>
      </c>
      <c r="F40" s="57"/>
      <c r="G40" s="111"/>
      <c r="H40" s="110">
        <v>4500</v>
      </c>
      <c r="I40" s="57"/>
      <c r="J40" s="106">
        <f>'p5b 10 year'!P37</f>
        <v>337.88108825683594</v>
      </c>
    </row>
    <row r="41" spans="1:12" ht="15" x14ac:dyDescent="0.25">
      <c r="A41" s="57"/>
      <c r="B41" s="57"/>
      <c r="C41" s="57"/>
      <c r="D41" s="57"/>
      <c r="E41" s="57"/>
      <c r="F41" s="57"/>
      <c r="G41" s="111"/>
      <c r="H41" s="111"/>
      <c r="I41" s="57"/>
      <c r="J41" s="95"/>
    </row>
    <row r="42" spans="1:12" ht="15" x14ac:dyDescent="0.25">
      <c r="A42" s="57"/>
      <c r="B42" s="57"/>
      <c r="C42" s="57"/>
      <c r="D42" s="57"/>
      <c r="E42" s="57"/>
      <c r="F42" s="57"/>
      <c r="G42" s="111"/>
      <c r="H42" s="111"/>
      <c r="I42" s="57"/>
      <c r="J42" s="95"/>
    </row>
    <row r="43" spans="1:12" ht="16.2" thickBot="1" x14ac:dyDescent="0.35">
      <c r="A43" s="57"/>
      <c r="B43" s="60" t="s">
        <v>13</v>
      </c>
      <c r="C43" s="60"/>
      <c r="D43" s="60"/>
      <c r="E43" s="60"/>
      <c r="F43" s="60"/>
      <c r="G43" s="66"/>
      <c r="H43" s="114">
        <f>H37-H39-H40-H41</f>
        <v>9584.25</v>
      </c>
      <c r="I43" s="57"/>
      <c r="J43" s="106">
        <f>J37-J40</f>
        <v>14064.813041526766</v>
      </c>
    </row>
    <row r="44" spans="1:12" ht="15.6" thickTop="1" x14ac:dyDescent="0.25">
      <c r="A44" s="57"/>
      <c r="B44" s="60"/>
      <c r="C44" s="60"/>
      <c r="D44" s="60"/>
      <c r="E44" s="60"/>
      <c r="F44" s="60"/>
      <c r="G44" s="66"/>
      <c r="H44" s="66"/>
      <c r="I44" s="57"/>
      <c r="J44" s="95"/>
    </row>
    <row r="45" spans="1:12" ht="17.399999999999999" x14ac:dyDescent="0.3">
      <c r="A45" s="57"/>
      <c r="B45" s="70" t="s">
        <v>30</v>
      </c>
      <c r="C45" s="60"/>
      <c r="D45" s="60"/>
      <c r="E45" s="71"/>
      <c r="F45" s="60"/>
      <c r="G45" s="66"/>
      <c r="H45" s="66">
        <f>IF(H43&lt;0,0,-(H43*$G$46*$E$46)+-(H43*$G$47*$E$47))</f>
        <v>-3147.9469124999996</v>
      </c>
      <c r="I45" s="66"/>
      <c r="J45" s="66">
        <f t="shared" ref="J45" si="0">IF(J43&lt;0,0,-(J43*$G$46*$E$46)+-(J43*$G$47*$E$47))</f>
        <v>-4619.5878434894666</v>
      </c>
      <c r="L45" s="67" t="s">
        <v>86</v>
      </c>
    </row>
    <row r="46" spans="1:12" ht="15" x14ac:dyDescent="0.25">
      <c r="A46" s="57"/>
      <c r="B46" s="60"/>
      <c r="C46" s="60" t="s">
        <v>32</v>
      </c>
      <c r="D46" s="60" t="s">
        <v>31</v>
      </c>
      <c r="E46" s="47">
        <v>0.33</v>
      </c>
      <c r="F46" s="60" t="s">
        <v>33</v>
      </c>
      <c r="G46" s="48">
        <v>0.99</v>
      </c>
      <c r="H46" s="69"/>
      <c r="I46" s="57"/>
      <c r="J46" s="95"/>
      <c r="L46" s="67" t="s">
        <v>87</v>
      </c>
    </row>
    <row r="47" spans="1:12" ht="15" x14ac:dyDescent="0.25">
      <c r="A47" s="57"/>
      <c r="B47" s="60"/>
      <c r="C47" s="60" t="s">
        <v>34</v>
      </c>
      <c r="D47" s="60"/>
      <c r="E47" s="47">
        <v>0.17499999999999999</v>
      </c>
      <c r="F47" s="60"/>
      <c r="G47" s="48">
        <v>0.01</v>
      </c>
      <c r="H47" s="69"/>
      <c r="I47" s="57"/>
      <c r="J47" s="95"/>
      <c r="L47" s="67" t="s">
        <v>85</v>
      </c>
    </row>
    <row r="48" spans="1:12" ht="15" x14ac:dyDescent="0.25">
      <c r="A48" s="57"/>
      <c r="B48" s="72"/>
      <c r="C48" s="72"/>
      <c r="D48" s="72"/>
      <c r="E48" s="72"/>
      <c r="F48" s="72"/>
      <c r="G48" s="72"/>
      <c r="H48" s="72"/>
      <c r="I48" s="72"/>
      <c r="J48" s="95"/>
    </row>
    <row r="49" spans="1:13" ht="18" thickBot="1" x14ac:dyDescent="0.35">
      <c r="A49" s="57"/>
      <c r="B49" s="60" t="s">
        <v>36</v>
      </c>
      <c r="C49" s="72"/>
      <c r="D49" s="72"/>
      <c r="E49" s="72"/>
      <c r="F49" s="72"/>
      <c r="G49" s="72"/>
      <c r="H49" s="73">
        <f>H37+H45</f>
        <v>10936.3030875</v>
      </c>
      <c r="I49" s="74"/>
      <c r="J49" s="109">
        <f>J37+J45</f>
        <v>9783.1062862941362</v>
      </c>
    </row>
    <row r="50" spans="1:13" ht="15.6" thickTop="1" x14ac:dyDescent="0.25">
      <c r="A50" s="57"/>
      <c r="B50" s="57"/>
      <c r="C50" s="57"/>
      <c r="D50" s="57"/>
      <c r="E50" s="57"/>
      <c r="F50" s="57"/>
      <c r="G50" s="63"/>
      <c r="H50" s="57"/>
      <c r="I50" s="57"/>
    </row>
    <row r="51" spans="1:13" ht="15.6" x14ac:dyDescent="0.3">
      <c r="A51" s="57"/>
      <c r="B51" s="60" t="s">
        <v>17</v>
      </c>
      <c r="C51" s="57"/>
      <c r="D51" s="57"/>
      <c r="E51" s="57"/>
      <c r="F51" s="57"/>
      <c r="G51" s="63"/>
      <c r="H51" s="59">
        <f>H49/52</f>
        <v>210.31352091346156</v>
      </c>
      <c r="I51" s="58"/>
      <c r="J51" s="115">
        <f>J49/52</f>
        <v>188.13665935181032</v>
      </c>
    </row>
    <row r="52" spans="1:13" ht="15" x14ac:dyDescent="0.25">
      <c r="A52" s="57"/>
      <c r="B52" s="57"/>
      <c r="C52" s="57"/>
      <c r="D52" s="57"/>
      <c r="E52" s="57"/>
      <c r="F52" s="57"/>
      <c r="G52" s="63"/>
      <c r="H52" s="75"/>
      <c r="I52" s="57"/>
    </row>
    <row r="53" spans="1:13" ht="15" x14ac:dyDescent="0.25">
      <c r="A53" s="57"/>
      <c r="B53" s="57" t="s">
        <v>19</v>
      </c>
      <c r="C53" s="57"/>
      <c r="D53" s="57"/>
      <c r="E53" s="57"/>
      <c r="F53" s="57"/>
      <c r="G53" s="62" t="e">
        <f>H49/E11</f>
        <v>#DIV/0!</v>
      </c>
      <c r="H53" s="69" t="s">
        <v>18</v>
      </c>
      <c r="I53" s="57"/>
    </row>
    <row r="54" spans="1:13" ht="15" x14ac:dyDescent="0.25">
      <c r="A54" s="57"/>
      <c r="B54" s="57"/>
      <c r="C54" s="57"/>
      <c r="D54" s="57"/>
      <c r="E54" s="63"/>
      <c r="F54" s="57"/>
      <c r="G54" s="76"/>
      <c r="H54" s="57"/>
      <c r="I54" s="57"/>
    </row>
    <row r="55" spans="1:13" ht="15" x14ac:dyDescent="0.25">
      <c r="A55" s="57"/>
      <c r="B55" s="57" t="s">
        <v>35</v>
      </c>
      <c r="C55" s="57"/>
      <c r="D55" s="57"/>
      <c r="E55" s="47">
        <v>0.03</v>
      </c>
      <c r="F55" s="57"/>
      <c r="G55" s="63"/>
      <c r="H55" s="69">
        <f>E10*E55</f>
        <v>10485</v>
      </c>
      <c r="I55" s="57"/>
    </row>
    <row r="56" spans="1:13" ht="15" x14ac:dyDescent="0.25">
      <c r="A56" s="57"/>
      <c r="B56" s="57"/>
      <c r="C56" s="57"/>
      <c r="D56" s="57"/>
      <c r="E56" s="57"/>
      <c r="F56" s="57"/>
      <c r="G56" s="63"/>
      <c r="H56" s="75"/>
      <c r="I56" s="57"/>
      <c r="L56" s="95"/>
    </row>
    <row r="57" spans="1:13" ht="15" x14ac:dyDescent="0.25">
      <c r="A57" s="57"/>
      <c r="B57" s="72" t="s">
        <v>20</v>
      </c>
      <c r="C57" s="72"/>
      <c r="D57" s="72"/>
      <c r="E57" s="72"/>
      <c r="F57" s="57"/>
      <c r="G57" s="63" t="e">
        <f>(H49+H55)/E11</f>
        <v>#DIV/0!</v>
      </c>
      <c r="H57" s="75" t="s">
        <v>18</v>
      </c>
      <c r="I57" s="57"/>
      <c r="M57" s="95"/>
    </row>
    <row r="58" spans="1:13" ht="14.25" customHeight="1" x14ac:dyDescent="0.25">
      <c r="A58" s="57"/>
      <c r="B58" s="57"/>
      <c r="C58" s="57"/>
      <c r="D58" s="57"/>
      <c r="E58" s="57"/>
      <c r="F58" s="57"/>
      <c r="G58" s="63"/>
      <c r="H58" s="75"/>
      <c r="I58" s="57"/>
    </row>
    <row r="59" spans="1:13" ht="15" hidden="1" x14ac:dyDescent="0.25">
      <c r="A59" s="57"/>
      <c r="B59" s="77"/>
      <c r="C59" s="77"/>
      <c r="D59" s="77"/>
      <c r="E59" s="77"/>
      <c r="F59" s="77"/>
      <c r="G59" s="78"/>
      <c r="H59" s="77"/>
      <c r="I59" s="77"/>
      <c r="J59" s="79"/>
    </row>
    <row r="60" spans="1:13" hidden="1" x14ac:dyDescent="0.25">
      <c r="B60" s="79"/>
      <c r="C60" s="79"/>
      <c r="D60" s="79"/>
      <c r="E60" s="79"/>
      <c r="F60" s="79"/>
      <c r="G60" s="79"/>
      <c r="H60" s="79"/>
      <c r="I60" s="79"/>
      <c r="J60" s="79"/>
    </row>
    <row r="61" spans="1:13" hidden="1" x14ac:dyDescent="0.25">
      <c r="A61" s="56"/>
      <c r="B61" s="80"/>
      <c r="C61" s="81"/>
      <c r="D61" s="80"/>
      <c r="E61" s="80"/>
      <c r="F61" s="80"/>
      <c r="G61" s="80"/>
      <c r="H61" s="80"/>
      <c r="I61" s="80"/>
      <c r="J61" s="79"/>
    </row>
    <row r="62" spans="1:13" hidden="1" x14ac:dyDescent="0.25">
      <c r="A62" s="56"/>
      <c r="B62" s="56"/>
      <c r="C62" s="56"/>
      <c r="D62" s="56"/>
      <c r="E62" s="56"/>
      <c r="F62" s="56"/>
      <c r="G62" s="56"/>
      <c r="H62" s="56"/>
      <c r="I62" s="56"/>
    </row>
    <row r="63" spans="1:13" ht="29.4" x14ac:dyDescent="0.45">
      <c r="A63" s="56"/>
      <c r="B63" s="191"/>
      <c r="C63" s="191"/>
      <c r="D63" s="191"/>
      <c r="E63" s="191"/>
      <c r="F63" s="191"/>
      <c r="G63" s="191"/>
      <c r="H63" s="191"/>
      <c r="I63" s="191"/>
    </row>
    <row r="64" spans="1:13" ht="29.4" x14ac:dyDescent="0.45">
      <c r="A64" s="56"/>
      <c r="B64" s="157" t="s">
        <v>115</v>
      </c>
      <c r="C64" s="172"/>
      <c r="D64" s="172"/>
      <c r="E64" s="172"/>
      <c r="F64" s="172"/>
      <c r="G64" s="172"/>
      <c r="H64" s="172"/>
      <c r="I64" s="172"/>
    </row>
    <row r="65" spans="1:15" ht="29.4" x14ac:dyDescent="0.45">
      <c r="A65" s="56"/>
      <c r="B65" s="172"/>
      <c r="C65" s="172"/>
      <c r="D65" s="172"/>
      <c r="E65" s="172"/>
      <c r="F65" s="172"/>
      <c r="G65" s="172"/>
      <c r="H65" s="172"/>
      <c r="I65" s="172"/>
    </row>
    <row r="66" spans="1:15" x14ac:dyDescent="0.25">
      <c r="A66" s="56"/>
      <c r="B66" s="56"/>
      <c r="C66" s="56"/>
      <c r="D66" s="56"/>
      <c r="E66" s="56"/>
      <c r="F66" s="56"/>
      <c r="G66" s="56"/>
      <c r="H66" s="56"/>
      <c r="I66" s="56"/>
    </row>
    <row r="67" spans="1:15" ht="15.6" x14ac:dyDescent="0.3">
      <c r="A67" s="56"/>
      <c r="B67" s="156" t="s">
        <v>112</v>
      </c>
      <c r="C67" s="151"/>
      <c r="D67" s="151"/>
      <c r="E67" s="159">
        <f>((H35-G28)+(300*1.15))/D17/(1-'Data to enter'!C14*1.15)</f>
        <v>228.54903846153846</v>
      </c>
      <c r="F67" s="151"/>
      <c r="G67" s="151" t="s">
        <v>26</v>
      </c>
      <c r="H67" s="151"/>
      <c r="I67" s="151"/>
      <c r="J67" s="160"/>
      <c r="K67" s="160"/>
      <c r="L67" s="160"/>
      <c r="M67" s="160"/>
      <c r="N67" s="160"/>
      <c r="O67" s="160"/>
    </row>
    <row r="68" spans="1:15" ht="15.6" x14ac:dyDescent="0.3">
      <c r="A68" s="56"/>
      <c r="B68" s="156"/>
      <c r="C68" s="151"/>
      <c r="D68" s="151"/>
      <c r="E68" s="161"/>
      <c r="F68" s="151"/>
      <c r="G68" s="151"/>
      <c r="H68" s="151"/>
      <c r="I68" s="151"/>
      <c r="J68" s="160"/>
      <c r="K68" s="160"/>
      <c r="L68" s="160"/>
      <c r="M68" s="160"/>
      <c r="N68" s="165"/>
      <c r="O68" s="160"/>
    </row>
    <row r="69" spans="1:15" ht="15.6" x14ac:dyDescent="0.3">
      <c r="A69" s="56"/>
      <c r="B69" s="156"/>
      <c r="C69" s="151"/>
      <c r="D69" s="151"/>
      <c r="E69" s="161" t="s">
        <v>121</v>
      </c>
      <c r="F69" s="151"/>
      <c r="G69" s="151"/>
      <c r="H69" s="151"/>
      <c r="I69" s="151"/>
      <c r="J69" s="160"/>
      <c r="K69" s="160"/>
      <c r="L69" s="160"/>
      <c r="M69" s="166" t="s">
        <v>121</v>
      </c>
      <c r="N69" s="165"/>
      <c r="O69" s="160"/>
    </row>
    <row r="70" spans="1:15" ht="15.6" x14ac:dyDescent="0.3">
      <c r="A70" s="57"/>
      <c r="B70" s="57"/>
      <c r="C70" s="57"/>
      <c r="D70" s="57"/>
      <c r="E70" s="158" t="s">
        <v>117</v>
      </c>
      <c r="F70" s="57"/>
      <c r="G70" s="57"/>
      <c r="H70" s="57"/>
      <c r="I70" s="57"/>
      <c r="J70" s="107" t="s">
        <v>116</v>
      </c>
      <c r="K70" s="160"/>
      <c r="L70" s="160"/>
      <c r="M70" s="107" t="s">
        <v>118</v>
      </c>
      <c r="N70" s="160"/>
      <c r="O70" s="160"/>
    </row>
    <row r="71" spans="1:15" ht="15" x14ac:dyDescent="0.25">
      <c r="A71" s="57"/>
      <c r="B71" s="60" t="s">
        <v>113</v>
      </c>
      <c r="C71" s="57"/>
      <c r="D71" s="57"/>
      <c r="E71" s="111">
        <f>$H$37+$G$27-(J71*12)</f>
        <v>5970.7000598454906</v>
      </c>
      <c r="F71" s="57"/>
      <c r="G71" s="57">
        <v>30</v>
      </c>
      <c r="H71" s="57" t="s">
        <v>114</v>
      </c>
      <c r="I71" s="57"/>
      <c r="J71" s="162">
        <f>PMT($E$27/12,G71*12,$E$13)*-1</f>
        <v>1343.0916616795423</v>
      </c>
      <c r="K71" s="160"/>
      <c r="L71" s="160"/>
      <c r="M71" s="163"/>
      <c r="N71" s="163">
        <f>(($H$35-$G$27-$G$28+J71*12)+(300*1.15))/$D$17/(1-'Data to enter'!$C$13*1.15)</f>
        <v>423.54498348344856</v>
      </c>
      <c r="O71" s="160"/>
    </row>
    <row r="72" spans="1:15" ht="15" x14ac:dyDescent="0.25">
      <c r="A72" s="57"/>
      <c r="B72" s="60"/>
      <c r="C72" s="57"/>
      <c r="D72" s="57"/>
      <c r="E72" s="111">
        <f>$H$37+$G$27-(J72*12)</f>
        <v>3713.2816230548488</v>
      </c>
      <c r="F72" s="57"/>
      <c r="G72" s="57">
        <v>25</v>
      </c>
      <c r="H72" s="57" t="s">
        <v>114</v>
      </c>
      <c r="I72" s="57"/>
      <c r="J72" s="162">
        <f>PMT($E$27/12,G72*12,$E$13)*-1</f>
        <v>1531.2098647454293</v>
      </c>
      <c r="K72" s="160"/>
      <c r="L72" s="160"/>
      <c r="M72" s="163"/>
      <c r="N72" s="163">
        <f>(($H$35-$G$27-$G$28+J72*12)+(300*1.15))/$D$17/(1-'Data to enter'!$C$13*1.15)</f>
        <v>471.35543834600878</v>
      </c>
      <c r="O72" s="160"/>
    </row>
    <row r="73" spans="1:15" ht="15" x14ac:dyDescent="0.25">
      <c r="A73" s="57"/>
      <c r="B73" s="57"/>
      <c r="C73" s="57"/>
      <c r="D73" s="57"/>
      <c r="E73" s="111">
        <f>$H$37+$G$27-(J73*12)</f>
        <v>290.23811711235248</v>
      </c>
      <c r="F73" s="57"/>
      <c r="G73" s="57">
        <v>20</v>
      </c>
      <c r="H73" s="57" t="s">
        <v>114</v>
      </c>
      <c r="I73" s="57"/>
      <c r="J73" s="162">
        <f>PMT($E$27/12,G73*12,$E$13)*-1</f>
        <v>1816.4634902406372</v>
      </c>
      <c r="K73" s="160"/>
      <c r="L73" s="160"/>
      <c r="M73" s="163"/>
      <c r="N73" s="163">
        <f>(($H$35-$G$27-$G$28+J73*12)+(300*1.15))/$D$17/(1-'Data to enter'!$C$13*1.15)</f>
        <v>543.85297108792884</v>
      </c>
      <c r="O73" s="160"/>
    </row>
    <row r="74" spans="1:15" ht="15" x14ac:dyDescent="0.25">
      <c r="A74" s="57"/>
      <c r="B74" s="57"/>
      <c r="C74" s="57"/>
      <c r="D74" s="57"/>
      <c r="E74" s="57"/>
      <c r="F74" s="57"/>
      <c r="G74" s="57"/>
      <c r="H74" s="57"/>
      <c r="I74" s="57"/>
    </row>
    <row r="75" spans="1:15" ht="15" x14ac:dyDescent="0.25">
      <c r="A75" s="57"/>
      <c r="B75" s="57"/>
      <c r="C75" s="57"/>
      <c r="D75" s="57"/>
      <c r="E75" s="57"/>
      <c r="F75" s="57"/>
      <c r="G75" s="57"/>
      <c r="H75" s="57"/>
      <c r="I75" s="57"/>
    </row>
    <row r="76" spans="1:15" ht="15.6" x14ac:dyDescent="0.3">
      <c r="A76" s="56"/>
      <c r="B76" s="156"/>
      <c r="C76" s="151"/>
      <c r="D76" s="151"/>
      <c r="E76" s="161" t="s">
        <v>122</v>
      </c>
      <c r="F76" s="151"/>
      <c r="G76" s="151"/>
      <c r="H76" s="151"/>
      <c r="I76" s="57"/>
      <c r="J76" s="166"/>
    </row>
    <row r="77" spans="1:15" ht="15.6" x14ac:dyDescent="0.3">
      <c r="A77" s="57"/>
      <c r="B77" s="57"/>
      <c r="C77" s="57"/>
      <c r="D77" s="57"/>
      <c r="E77" s="158" t="s">
        <v>117</v>
      </c>
      <c r="F77" s="57"/>
      <c r="G77" s="57"/>
      <c r="H77" s="57"/>
      <c r="I77" s="57"/>
      <c r="J77" s="107"/>
      <c r="K77" s="160"/>
      <c r="L77" s="160"/>
    </row>
    <row r="78" spans="1:15" ht="15" x14ac:dyDescent="0.25">
      <c r="A78" s="57"/>
      <c r="B78" s="60" t="s">
        <v>113</v>
      </c>
      <c r="C78" s="57"/>
      <c r="D78" s="57"/>
      <c r="E78" s="111">
        <f>E71+$H$45</f>
        <v>2822.753147345491</v>
      </c>
      <c r="F78" s="57"/>
      <c r="G78" s="57">
        <v>30</v>
      </c>
      <c r="H78" s="57" t="s">
        <v>114</v>
      </c>
      <c r="I78" s="57"/>
      <c r="J78" s="163"/>
      <c r="K78" s="163"/>
      <c r="L78" s="160"/>
    </row>
    <row r="79" spans="1:15" ht="15" x14ac:dyDescent="0.25">
      <c r="A79" s="57"/>
      <c r="B79" s="60"/>
      <c r="C79" s="57"/>
      <c r="D79" s="57"/>
      <c r="E79" s="111">
        <f>E72+$H$45</f>
        <v>565.33471055484915</v>
      </c>
      <c r="F79" s="57"/>
      <c r="G79" s="57">
        <v>25</v>
      </c>
      <c r="H79" s="57" t="s">
        <v>114</v>
      </c>
      <c r="I79" s="57"/>
      <c r="J79" s="163"/>
      <c r="K79" s="163"/>
      <c r="L79" s="160"/>
    </row>
    <row r="80" spans="1:15" ht="15" x14ac:dyDescent="0.25">
      <c r="A80" s="57"/>
      <c r="B80" s="57"/>
      <c r="C80" s="57"/>
      <c r="D80" s="57"/>
      <c r="E80" s="111">
        <f>E73+$H$45</f>
        <v>-2857.7087953876471</v>
      </c>
      <c r="F80" s="57"/>
      <c r="G80" s="57">
        <v>20</v>
      </c>
      <c r="H80" s="57" t="s">
        <v>114</v>
      </c>
      <c r="I80" s="57"/>
      <c r="J80" s="163"/>
      <c r="K80" s="163"/>
      <c r="L80" s="160"/>
    </row>
    <row r="81" spans="1:9" ht="15" x14ac:dyDescent="0.25">
      <c r="A81" s="57"/>
      <c r="B81" s="57"/>
      <c r="C81" s="57"/>
      <c r="D81" s="57"/>
      <c r="E81" s="57"/>
      <c r="F81" s="57"/>
      <c r="G81" s="57"/>
      <c r="H81" s="57"/>
      <c r="I81" s="57"/>
    </row>
    <row r="82" spans="1:9" ht="15" x14ac:dyDescent="0.25">
      <c r="A82" s="57"/>
      <c r="B82" s="57"/>
      <c r="C82" s="57"/>
      <c r="D82" s="57"/>
      <c r="E82" s="57"/>
      <c r="F82" s="57"/>
      <c r="G82" s="57"/>
      <c r="H82" s="57"/>
      <c r="I82" s="57"/>
    </row>
    <row r="83" spans="1:9" ht="15" x14ac:dyDescent="0.25">
      <c r="A83" s="57"/>
      <c r="B83" s="57"/>
      <c r="C83" s="57"/>
      <c r="D83" s="57"/>
      <c r="E83" s="57"/>
      <c r="F83" s="57"/>
      <c r="G83" s="57"/>
      <c r="H83" s="57"/>
      <c r="I83" s="57"/>
    </row>
    <row r="84" spans="1:9" ht="15" x14ac:dyDescent="0.25">
      <c r="A84" s="57"/>
      <c r="B84" s="57"/>
      <c r="C84" s="57"/>
      <c r="D84" s="57"/>
      <c r="E84" s="57"/>
      <c r="F84" s="57"/>
      <c r="G84" s="57"/>
      <c r="H84" s="57"/>
      <c r="I84" s="57"/>
    </row>
    <row r="85" spans="1:9" ht="15" x14ac:dyDescent="0.25">
      <c r="A85" s="57"/>
      <c r="B85" s="57"/>
      <c r="C85" s="57"/>
      <c r="D85" s="57"/>
      <c r="E85" s="57"/>
      <c r="F85" s="57"/>
      <c r="G85" s="57"/>
      <c r="H85" s="57"/>
      <c r="I85" s="57"/>
    </row>
    <row r="86" spans="1:9" ht="15" x14ac:dyDescent="0.25">
      <c r="A86" s="57"/>
      <c r="B86" s="57"/>
      <c r="C86" s="57"/>
      <c r="D86" s="57"/>
      <c r="E86" s="57"/>
      <c r="F86" s="57"/>
      <c r="G86" s="57"/>
      <c r="H86" s="57"/>
      <c r="I86" s="57"/>
    </row>
    <row r="87" spans="1:9" ht="15" x14ac:dyDescent="0.25">
      <c r="A87" s="57"/>
      <c r="B87" s="57"/>
      <c r="C87" s="57"/>
      <c r="D87" s="57"/>
      <c r="E87" s="57"/>
      <c r="F87" s="57"/>
      <c r="G87" s="57"/>
      <c r="H87" s="57"/>
      <c r="I87" s="57"/>
    </row>
    <row r="88" spans="1:9" ht="15" x14ac:dyDescent="0.25">
      <c r="A88" s="57"/>
      <c r="B88" s="57"/>
      <c r="C88" s="57"/>
      <c r="D88" s="57"/>
      <c r="E88" s="57"/>
      <c r="F88" s="57"/>
      <c r="G88" s="57"/>
      <c r="H88" s="57"/>
      <c r="I88" s="57"/>
    </row>
    <row r="89" spans="1:9" ht="15" x14ac:dyDescent="0.25">
      <c r="A89" s="57"/>
      <c r="B89" s="57"/>
      <c r="C89" s="57"/>
      <c r="D89" s="57"/>
      <c r="E89" s="57"/>
      <c r="F89" s="57"/>
      <c r="G89" s="57"/>
      <c r="H89" s="75"/>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57"/>
      <c r="C93" s="57"/>
      <c r="D93" s="57"/>
      <c r="E93" s="57"/>
      <c r="F93" s="57"/>
      <c r="G93" s="57"/>
      <c r="H93" s="57"/>
      <c r="I93" s="57"/>
    </row>
    <row r="94" spans="1:9" ht="15" x14ac:dyDescent="0.25">
      <c r="A94" s="57"/>
      <c r="B94" s="57"/>
      <c r="C94" s="57"/>
      <c r="D94" s="57"/>
      <c r="E94" s="57"/>
      <c r="F94" s="57"/>
      <c r="G94" s="57"/>
      <c r="H94" s="57"/>
      <c r="I94" s="57"/>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72"/>
      <c r="C97" s="72"/>
      <c r="D97" s="72"/>
      <c r="E97" s="72"/>
      <c r="F97" s="72"/>
      <c r="G97" s="72"/>
      <c r="H97" s="72"/>
      <c r="I97" s="72"/>
    </row>
    <row r="98" spans="1:9" ht="15" x14ac:dyDescent="0.25">
      <c r="A98" s="57"/>
      <c r="B98" s="72"/>
      <c r="C98" s="72"/>
      <c r="D98" s="72"/>
      <c r="E98" s="72"/>
      <c r="F98" s="72"/>
      <c r="G98" s="72"/>
      <c r="H98" s="72"/>
      <c r="I98" s="72"/>
    </row>
    <row r="99" spans="1:9" ht="15" x14ac:dyDescent="0.25">
      <c r="A99" s="57"/>
      <c r="B99" s="82"/>
      <c r="C99" s="82"/>
      <c r="D99" s="82"/>
      <c r="E99" s="82"/>
      <c r="F99" s="82"/>
      <c r="G99" s="82"/>
      <c r="H99" s="57"/>
      <c r="I99" s="57"/>
    </row>
    <row r="100" spans="1:9" ht="15" x14ac:dyDescent="0.25">
      <c r="B100" s="83"/>
      <c r="C100" s="83"/>
      <c r="D100" s="83"/>
      <c r="E100" s="83"/>
      <c r="F100" s="84"/>
      <c r="G100" s="83"/>
    </row>
  </sheetData>
  <sheetProtection algorithmName="SHA-512" hashValue="tQquMCLcVSax+rgTPNRqlNEIdzJKd2M1t2nkVCu2eQFVmvUQIwdx+rX9gtvmFgzkpADGZKsCgNPTPyPwqc2LeA==" saltValue="a1neOriuL1S210/iJyP+lQ==" spinCount="100000" sheet="1" selectLockedCells="1"/>
  <mergeCells count="3">
    <mergeCell ref="A1:G1"/>
    <mergeCell ref="F2:J2"/>
    <mergeCell ref="B63:I63"/>
  </mergeCells>
  <pageMargins left="0.75" right="0.75" top="1" bottom="1" header="0.5" footer="0.5"/>
  <pageSetup paperSize="9" scale="79" orientation="portrait" r:id="rId1"/>
  <headerFooter alignWithMargins="0">
    <oddFooter>&amp;CThis is based on estimated costs and returns.</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C1123-C650-4BFF-BD6D-6BCCB384E573}">
  <sheetPr codeName="Sheet10">
    <pageSetUpPr fitToPage="1"/>
  </sheetPr>
  <dimension ref="A1:U100"/>
  <sheetViews>
    <sheetView topLeftCell="P4" zoomScale="120" zoomScaleNormal="120" workbookViewId="0">
      <selection activeCell="G28" sqref="G28"/>
    </sheetView>
  </sheetViews>
  <sheetFormatPr defaultColWidth="9.109375" defaultRowHeight="13.2" x14ac:dyDescent="0.25"/>
  <cols>
    <col min="1" max="1" width="3.5546875" style="54" customWidth="1"/>
    <col min="2" max="2" width="7.33203125" style="54" customWidth="1"/>
    <col min="3" max="3" width="12.88671875" style="54" customWidth="1"/>
    <col min="4" max="4" width="15.6640625" style="54" bestFit="1" customWidth="1"/>
    <col min="5" max="5" width="14.33203125" style="54" customWidth="1"/>
    <col min="6" max="6" width="6.109375" style="54" customWidth="1"/>
    <col min="7" max="7" width="16" style="54" bestFit="1" customWidth="1"/>
    <col min="8" max="8" width="16.44140625" style="54" customWidth="1"/>
    <col min="9" max="9" width="8.109375" style="54" customWidth="1"/>
    <col min="10" max="10" width="14.109375" style="54" customWidth="1"/>
    <col min="11" max="19" width="9.109375" style="54"/>
    <col min="20" max="20" width="11.44140625" style="54" customWidth="1"/>
    <col min="21" max="16384" width="9.109375" style="54"/>
  </cols>
  <sheetData>
    <row r="1" spans="1:21" ht="55.5" customHeight="1" x14ac:dyDescent="0.25">
      <c r="A1" s="190"/>
      <c r="B1" s="190"/>
      <c r="C1" s="190"/>
      <c r="D1" s="190"/>
      <c r="E1" s="190"/>
      <c r="F1" s="190"/>
      <c r="G1" s="190"/>
    </row>
    <row r="2" spans="1:21" ht="22.8" x14ac:dyDescent="0.4">
      <c r="B2" s="55" t="s">
        <v>24</v>
      </c>
      <c r="F2" s="194" t="s">
        <v>109</v>
      </c>
      <c r="G2" s="195"/>
      <c r="H2" s="195"/>
      <c r="I2" s="195"/>
      <c r="J2" s="195"/>
    </row>
    <row r="3" spans="1:21" ht="15.6" x14ac:dyDescent="0.3">
      <c r="J3" s="107" t="s">
        <v>96</v>
      </c>
    </row>
    <row r="4" spans="1:21" x14ac:dyDescent="0.25">
      <c r="A4" s="56"/>
      <c r="B4" s="56"/>
      <c r="C4" s="56"/>
      <c r="D4" s="56"/>
      <c r="E4" s="56"/>
      <c r="F4" s="56"/>
      <c r="G4" s="56"/>
      <c r="H4" s="56"/>
      <c r="I4" s="56"/>
    </row>
    <row r="5" spans="1:21" ht="1.5" customHeight="1" x14ac:dyDescent="0.25">
      <c r="A5" s="56"/>
      <c r="B5" s="57"/>
      <c r="C5" s="56"/>
      <c r="D5" s="58"/>
      <c r="E5" s="56"/>
      <c r="F5" s="56"/>
      <c r="G5" s="56"/>
      <c r="H5" s="56"/>
      <c r="I5" s="56"/>
    </row>
    <row r="6" spans="1:21" ht="15.6" x14ac:dyDescent="0.3">
      <c r="A6" s="57"/>
      <c r="B6" s="57" t="s">
        <v>21</v>
      </c>
      <c r="C6" s="57"/>
      <c r="D6" s="45">
        <f>T10</f>
        <v>1100000</v>
      </c>
      <c r="E6" s="58"/>
      <c r="F6" s="57"/>
      <c r="G6" s="57"/>
      <c r="H6" s="57"/>
      <c r="I6" s="57"/>
      <c r="J6" s="106">
        <f>'p5c 10 year'!P6</f>
        <v>1938784.9041618751</v>
      </c>
      <c r="O6" s="54" t="s">
        <v>74</v>
      </c>
      <c r="P6" s="95">
        <f>'p5a one year'!D6</f>
        <v>600000</v>
      </c>
      <c r="Q6" s="54" t="s">
        <v>75</v>
      </c>
      <c r="R6" s="95">
        <f>'p5b one year'!D7</f>
        <v>50000</v>
      </c>
      <c r="S6" s="54" t="s">
        <v>76</v>
      </c>
      <c r="T6" s="95">
        <f>'p5b one year'!D6</f>
        <v>300000</v>
      </c>
      <c r="U6" s="54" t="s">
        <v>77</v>
      </c>
    </row>
    <row r="7" spans="1:21" ht="15.6" x14ac:dyDescent="0.3">
      <c r="A7" s="57"/>
      <c r="B7" s="57" t="s">
        <v>107</v>
      </c>
      <c r="C7" s="57"/>
      <c r="D7" s="45"/>
      <c r="E7" s="58"/>
      <c r="F7" s="57"/>
      <c r="G7" s="57"/>
      <c r="H7" s="57"/>
      <c r="I7" s="57"/>
      <c r="J7" s="106"/>
    </row>
    <row r="8" spans="1:21" ht="15" x14ac:dyDescent="0.25">
      <c r="A8" s="57"/>
      <c r="B8" s="57" t="s">
        <v>92</v>
      </c>
      <c r="C8" s="57"/>
      <c r="D8" s="45">
        <f>'p5a one year'!D7+'p5b one year'!D8</f>
        <v>3160</v>
      </c>
      <c r="E8" s="58"/>
      <c r="F8" s="57"/>
      <c r="G8" s="57"/>
      <c r="H8" s="57"/>
      <c r="I8" s="57"/>
      <c r="O8" s="67" t="s">
        <v>78</v>
      </c>
      <c r="Q8" s="67" t="s">
        <v>79</v>
      </c>
      <c r="S8" s="170">
        <v>550000</v>
      </c>
      <c r="T8" s="95"/>
    </row>
    <row r="9" spans="1:21" ht="15" x14ac:dyDescent="0.25">
      <c r="A9" s="57"/>
      <c r="B9" s="57" t="s">
        <v>93</v>
      </c>
      <c r="C9" s="57"/>
      <c r="D9" s="45">
        <f>'p5a one year'!D8+'p5b one year'!D9</f>
        <v>2500</v>
      </c>
      <c r="E9" s="58"/>
      <c r="F9" s="57"/>
      <c r="G9" s="57"/>
      <c r="H9" s="57"/>
      <c r="I9" s="57"/>
      <c r="R9" s="67" t="s">
        <v>80</v>
      </c>
      <c r="S9" s="171">
        <v>550000</v>
      </c>
      <c r="T9" s="95"/>
    </row>
    <row r="10" spans="1:21" ht="15" x14ac:dyDescent="0.25">
      <c r="A10" s="57"/>
      <c r="B10" s="57"/>
      <c r="C10" s="57"/>
      <c r="D10" s="58"/>
      <c r="E10" s="59">
        <f>D6+D8-D9+D7</f>
        <v>1100660</v>
      </c>
      <c r="F10" s="57"/>
      <c r="G10" s="57"/>
      <c r="H10" s="57"/>
      <c r="I10" s="57"/>
      <c r="S10" s="95"/>
      <c r="T10" s="95">
        <f>S8+S9</f>
        <v>1100000</v>
      </c>
    </row>
    <row r="11" spans="1:21" ht="15" x14ac:dyDescent="0.25">
      <c r="A11" s="57"/>
      <c r="B11" s="57" t="s">
        <v>94</v>
      </c>
      <c r="C11" s="57"/>
      <c r="D11" s="58"/>
      <c r="E11" s="45">
        <f>T12+'p5b one year'!E11+'p5a one year'!E10</f>
        <v>150000</v>
      </c>
      <c r="F11" s="57"/>
      <c r="G11" s="57"/>
      <c r="H11" s="57"/>
      <c r="I11" s="57"/>
    </row>
    <row r="12" spans="1:21" ht="15" x14ac:dyDescent="0.25">
      <c r="A12" s="57"/>
      <c r="B12" s="57"/>
      <c r="C12" s="57"/>
      <c r="D12" s="58"/>
      <c r="E12" s="58"/>
      <c r="F12" s="57"/>
      <c r="G12" s="57"/>
      <c r="H12" s="57"/>
      <c r="I12" s="57"/>
      <c r="S12" s="92" t="s">
        <v>81</v>
      </c>
      <c r="T12" s="93">
        <f>T10-P6-R6-T6</f>
        <v>150000</v>
      </c>
    </row>
    <row r="13" spans="1:21" ht="15" x14ac:dyDescent="0.25">
      <c r="A13" s="57"/>
      <c r="B13" s="60" t="s">
        <v>9</v>
      </c>
      <c r="C13" s="57"/>
      <c r="D13" s="58"/>
      <c r="E13" s="59">
        <f>E10-E11</f>
        <v>950660</v>
      </c>
      <c r="F13" s="57"/>
      <c r="G13" s="57"/>
      <c r="H13" s="57"/>
      <c r="I13" s="57"/>
    </row>
    <row r="14" spans="1:21" ht="8.25" customHeight="1" x14ac:dyDescent="0.25">
      <c r="A14" s="57"/>
      <c r="B14" s="57"/>
      <c r="C14" s="57"/>
      <c r="D14" s="58"/>
      <c r="E14" s="58"/>
      <c r="F14" s="57"/>
      <c r="G14" s="57"/>
      <c r="H14" s="57"/>
      <c r="I14" s="57"/>
    </row>
    <row r="15" spans="1:21" ht="17.399999999999999" x14ac:dyDescent="0.3">
      <c r="A15" s="57"/>
      <c r="B15" s="61" t="s">
        <v>0</v>
      </c>
      <c r="C15" s="57"/>
      <c r="D15" s="57"/>
      <c r="E15" s="57"/>
      <c r="F15" s="57"/>
      <c r="G15" s="57"/>
      <c r="H15" s="57"/>
      <c r="I15" s="57"/>
    </row>
    <row r="16" spans="1:21" ht="8.25" customHeight="1" x14ac:dyDescent="0.25">
      <c r="A16" s="57"/>
      <c r="B16" s="57"/>
      <c r="C16" s="57"/>
      <c r="D16" s="57"/>
      <c r="E16" s="57"/>
      <c r="F16" s="57"/>
      <c r="G16" s="57"/>
      <c r="H16" s="57"/>
      <c r="I16" s="57"/>
    </row>
    <row r="17" spans="1:10" ht="15.6" x14ac:dyDescent="0.3">
      <c r="A17" s="57"/>
      <c r="B17" s="57" t="s">
        <v>27</v>
      </c>
      <c r="C17" s="57" t="s">
        <v>25</v>
      </c>
      <c r="D17" s="46">
        <v>52</v>
      </c>
      <c r="E17" s="57"/>
      <c r="F17" s="57"/>
      <c r="G17" s="57"/>
      <c r="H17" s="108">
        <f>'p5a one year'!H16+'p5b one year'!H17</f>
        <v>55018</v>
      </c>
      <c r="I17" s="57"/>
      <c r="J17" s="106">
        <f>'p5c 10 year'!P14</f>
        <v>71786.011027917397</v>
      </c>
    </row>
    <row r="18" spans="1:10" ht="15" x14ac:dyDescent="0.25">
      <c r="A18" s="57"/>
      <c r="B18" s="57"/>
      <c r="C18" s="57" t="s">
        <v>26</v>
      </c>
      <c r="D18" s="110"/>
      <c r="E18" s="57"/>
      <c r="F18" s="57"/>
      <c r="G18" s="57"/>
      <c r="H18" s="57"/>
      <c r="I18" s="57"/>
    </row>
    <row r="19" spans="1:10" ht="15" x14ac:dyDescent="0.25">
      <c r="A19" s="57"/>
      <c r="B19" s="57"/>
      <c r="C19" s="57"/>
      <c r="D19" s="57" t="s">
        <v>11</v>
      </c>
      <c r="E19" s="57"/>
      <c r="F19" s="57"/>
      <c r="G19" s="62">
        <f>H17/E10</f>
        <v>4.9986371813275671E-2</v>
      </c>
      <c r="H19" s="63"/>
      <c r="I19" s="57"/>
    </row>
    <row r="20" spans="1:10" ht="6.75" customHeight="1" x14ac:dyDescent="0.25">
      <c r="A20" s="57"/>
      <c r="B20" s="57"/>
      <c r="C20" s="57"/>
      <c r="D20" s="57"/>
      <c r="E20" s="57"/>
      <c r="F20" s="57"/>
      <c r="G20" s="57"/>
      <c r="H20" s="57"/>
      <c r="I20" s="57"/>
    </row>
    <row r="21" spans="1:10" ht="24" customHeight="1" x14ac:dyDescent="0.3">
      <c r="A21" s="57"/>
      <c r="B21" s="64" t="s">
        <v>1</v>
      </c>
      <c r="C21" s="65"/>
      <c r="D21" s="57"/>
      <c r="E21" s="57"/>
      <c r="F21" s="57"/>
      <c r="G21" s="57"/>
      <c r="H21" s="57"/>
      <c r="I21" s="57"/>
    </row>
    <row r="22" spans="1:10" ht="15" x14ac:dyDescent="0.25">
      <c r="A22" s="57"/>
      <c r="B22" s="57"/>
      <c r="C22" s="57"/>
      <c r="D22" s="57"/>
      <c r="E22" s="57"/>
      <c r="F22" s="57"/>
      <c r="G22" s="57"/>
      <c r="H22" s="57"/>
      <c r="I22" s="57"/>
    </row>
    <row r="23" spans="1:10" ht="15" x14ac:dyDescent="0.25">
      <c r="A23" s="57"/>
      <c r="B23" s="57" t="s">
        <v>7</v>
      </c>
      <c r="C23" s="57"/>
      <c r="D23" s="57"/>
      <c r="E23" s="57"/>
      <c r="F23" s="57"/>
      <c r="G23" s="110">
        <f>'p5a one year'!G22+'p5b one year'!G23</f>
        <v>1900</v>
      </c>
      <c r="H23" s="111"/>
      <c r="I23" s="57"/>
    </row>
    <row r="24" spans="1:10" ht="15" x14ac:dyDescent="0.25">
      <c r="A24" s="57"/>
      <c r="B24" s="57" t="s">
        <v>8</v>
      </c>
      <c r="C24" s="57"/>
      <c r="D24" s="57"/>
      <c r="E24" s="57"/>
      <c r="F24" s="57"/>
      <c r="G24" s="110">
        <f>'p5a one year'!G23+'p5b one year'!G24</f>
        <v>100</v>
      </c>
      <c r="H24" s="111"/>
      <c r="I24" s="57"/>
    </row>
    <row r="25" spans="1:10" ht="15" x14ac:dyDescent="0.25">
      <c r="A25" s="57"/>
      <c r="B25" s="57" t="s">
        <v>14</v>
      </c>
      <c r="C25" s="57"/>
      <c r="D25" s="57"/>
      <c r="E25" s="57"/>
      <c r="F25" s="57"/>
      <c r="G25" s="110">
        <f>'p5a one year'!G24+'p5b one year'!G25</f>
        <v>0</v>
      </c>
      <c r="H25" s="111"/>
      <c r="I25" s="57"/>
    </row>
    <row r="26" spans="1:10" ht="15" x14ac:dyDescent="0.25">
      <c r="A26" s="57"/>
      <c r="B26" s="57" t="s">
        <v>2</v>
      </c>
      <c r="C26" s="57"/>
      <c r="D26" s="57"/>
      <c r="E26" s="57"/>
      <c r="F26" s="57"/>
      <c r="G26" s="110">
        <f>'p5a one year'!G25+'p5b one year'!G26</f>
        <v>2000</v>
      </c>
      <c r="H26" s="111"/>
      <c r="I26" s="57"/>
    </row>
    <row r="27" spans="1:10" ht="15.6" x14ac:dyDescent="0.3">
      <c r="A27" s="57"/>
      <c r="B27" s="57" t="s">
        <v>28</v>
      </c>
      <c r="C27" s="57"/>
      <c r="D27" s="57" t="s">
        <v>29</v>
      </c>
      <c r="E27" s="47">
        <f>'p5b one year'!E27</f>
        <v>2.29E-2</v>
      </c>
      <c r="F27" s="57"/>
      <c r="G27" s="66">
        <f>'p5a one year'!G26+'p5b one year'!G27</f>
        <v>21770.114000000001</v>
      </c>
      <c r="H27" s="111"/>
      <c r="I27" s="169"/>
      <c r="J27" s="106">
        <f>'p5c 10 year'!P24</f>
        <v>39214.725000000006</v>
      </c>
    </row>
    <row r="28" spans="1:10" ht="15" x14ac:dyDescent="0.25">
      <c r="A28" s="57"/>
      <c r="B28" s="57" t="s">
        <v>95</v>
      </c>
      <c r="C28" s="57"/>
      <c r="D28" s="57"/>
      <c r="E28" s="57"/>
      <c r="F28" s="57"/>
      <c r="G28" s="85">
        <f>'p5a one year'!G27+'p5b one year'!G28</f>
        <v>5751.655999999999</v>
      </c>
      <c r="H28" s="111"/>
      <c r="I28" s="57"/>
    </row>
    <row r="29" spans="1:10" ht="15" x14ac:dyDescent="0.25">
      <c r="A29" s="57"/>
      <c r="B29" s="57" t="s">
        <v>3</v>
      </c>
      <c r="C29" s="57"/>
      <c r="D29" s="57"/>
      <c r="E29" s="57"/>
      <c r="F29" s="57"/>
      <c r="G29" s="85">
        <f>'p5a one year'!G28+'p5b one year'!G29</f>
        <v>4000</v>
      </c>
      <c r="H29" s="111"/>
      <c r="I29" s="57"/>
    </row>
    <row r="30" spans="1:10" ht="15" x14ac:dyDescent="0.25">
      <c r="A30" s="57"/>
      <c r="B30" s="57" t="s">
        <v>6</v>
      </c>
      <c r="C30" s="57"/>
      <c r="D30" s="57"/>
      <c r="E30" s="57"/>
      <c r="F30" s="57"/>
      <c r="G30" s="85">
        <f>'p5a one year'!G29+'p5b one year'!G30</f>
        <v>3250</v>
      </c>
      <c r="H30" s="111"/>
      <c r="I30" s="57"/>
    </row>
    <row r="31" spans="1:10" ht="15" x14ac:dyDescent="0.25">
      <c r="A31" s="57"/>
      <c r="B31" s="57" t="s">
        <v>22</v>
      </c>
      <c r="C31" s="57"/>
      <c r="D31" s="57"/>
      <c r="E31" s="57"/>
      <c r="F31" s="57"/>
      <c r="G31" s="85">
        <f>'p5a one year'!G30+'p5b one year'!G31</f>
        <v>200</v>
      </c>
      <c r="H31" s="111"/>
      <c r="I31" s="57"/>
    </row>
    <row r="32" spans="1:10" ht="15" x14ac:dyDescent="0.25">
      <c r="A32" s="57"/>
      <c r="B32" s="57" t="s">
        <v>23</v>
      </c>
      <c r="C32" s="57"/>
      <c r="D32" s="57"/>
      <c r="E32" s="57"/>
      <c r="F32" s="57"/>
      <c r="G32" s="85">
        <f>'p5a one year'!G31+'p5b one year'!G32</f>
        <v>600</v>
      </c>
      <c r="H32" s="111"/>
      <c r="I32" s="57"/>
      <c r="J32" s="67"/>
    </row>
    <row r="33" spans="1:12" ht="15" x14ac:dyDescent="0.25">
      <c r="A33" s="57"/>
      <c r="B33" s="57" t="s">
        <v>5</v>
      </c>
      <c r="C33" s="57"/>
      <c r="D33" s="57"/>
      <c r="E33" s="57"/>
      <c r="F33" s="57"/>
      <c r="G33" s="85">
        <f>'p5a one year'!G32+'p5b one year'!G33</f>
        <v>172</v>
      </c>
      <c r="H33" s="111"/>
      <c r="I33" s="57"/>
    </row>
    <row r="34" spans="1:12" ht="15" x14ac:dyDescent="0.25">
      <c r="A34" s="57"/>
      <c r="B34" s="57"/>
      <c r="C34" s="57"/>
      <c r="D34" s="57"/>
      <c r="E34" s="57"/>
      <c r="F34" s="57"/>
      <c r="G34" s="111"/>
      <c r="H34" s="111"/>
      <c r="I34" s="57"/>
    </row>
    <row r="35" spans="1:12" ht="18" thickBot="1" x14ac:dyDescent="0.35">
      <c r="A35" s="57"/>
      <c r="B35" s="64" t="s">
        <v>4</v>
      </c>
      <c r="C35" s="64"/>
      <c r="D35" s="57"/>
      <c r="E35" s="57"/>
      <c r="F35" s="57"/>
      <c r="G35" s="111"/>
      <c r="H35" s="113">
        <f>SUM(G23:G33)</f>
        <v>39743.770000000004</v>
      </c>
      <c r="I35" s="57"/>
      <c r="J35" s="106">
        <f>'p5c 10 year'!P32</f>
        <v>62666.269364171618</v>
      </c>
    </row>
    <row r="36" spans="1:12" ht="15" x14ac:dyDescent="0.25">
      <c r="A36" s="57"/>
      <c r="B36" s="57"/>
      <c r="C36" s="57"/>
      <c r="D36" s="57"/>
      <c r="E36" s="57"/>
      <c r="F36" s="57"/>
      <c r="G36" s="111"/>
      <c r="H36" s="111"/>
      <c r="I36" s="57"/>
      <c r="J36" s="95"/>
    </row>
    <row r="37" spans="1:12" ht="15.6" x14ac:dyDescent="0.3">
      <c r="A37" s="57"/>
      <c r="B37" s="68" t="s">
        <v>10</v>
      </c>
      <c r="C37" s="68"/>
      <c r="D37" s="68"/>
      <c r="E37" s="57"/>
      <c r="F37" s="57"/>
      <c r="G37" s="111"/>
      <c r="H37" s="66">
        <f>H17-H35</f>
        <v>15274.229999999996</v>
      </c>
      <c r="I37" s="57"/>
      <c r="J37" s="106">
        <f>J17-J35</f>
        <v>9119.7416637457791</v>
      </c>
    </row>
    <row r="38" spans="1:12" ht="15" x14ac:dyDescent="0.25">
      <c r="A38" s="57"/>
      <c r="B38" s="57"/>
      <c r="C38" s="57"/>
      <c r="D38" s="57"/>
      <c r="E38" s="57"/>
      <c r="F38" s="57"/>
      <c r="G38" s="111"/>
      <c r="H38" s="111"/>
      <c r="I38" s="57"/>
      <c r="J38" s="95"/>
    </row>
    <row r="39" spans="1:12" ht="15" x14ac:dyDescent="0.25">
      <c r="A39" s="57"/>
      <c r="B39" s="60" t="s">
        <v>12</v>
      </c>
      <c r="C39" s="60"/>
      <c r="D39" s="57"/>
      <c r="E39" s="57" t="s">
        <v>15</v>
      </c>
      <c r="F39" s="57"/>
      <c r="G39" s="111"/>
      <c r="H39" s="66">
        <v>0</v>
      </c>
      <c r="I39" s="57"/>
      <c r="J39" s="95"/>
    </row>
    <row r="40" spans="1:12" ht="15.6" x14ac:dyDescent="0.3">
      <c r="A40" s="57"/>
      <c r="B40" s="57"/>
      <c r="C40" s="57"/>
      <c r="D40" s="57"/>
      <c r="E40" s="57" t="s">
        <v>16</v>
      </c>
      <c r="F40" s="57"/>
      <c r="G40" s="111"/>
      <c r="H40" s="110">
        <f>'p5a one year'!H39+'p5b one year'!H40</f>
        <v>6500</v>
      </c>
      <c r="I40" s="57"/>
      <c r="J40" s="106">
        <f>'p5c 10 year'!P37</f>
        <v>488.05046081542969</v>
      </c>
    </row>
    <row r="41" spans="1:12" ht="15" x14ac:dyDescent="0.25">
      <c r="A41" s="57"/>
      <c r="B41" s="57"/>
      <c r="C41" s="57"/>
      <c r="D41" s="57"/>
      <c r="E41" s="57"/>
      <c r="F41" s="57"/>
      <c r="G41" s="111"/>
      <c r="H41" s="111"/>
      <c r="I41" s="57"/>
      <c r="J41" s="95"/>
    </row>
    <row r="42" spans="1:12" ht="15" x14ac:dyDescent="0.25">
      <c r="A42" s="57"/>
      <c r="B42" s="57"/>
      <c r="C42" s="57"/>
      <c r="D42" s="57"/>
      <c r="E42" s="57"/>
      <c r="F42" s="57"/>
      <c r="G42" s="111"/>
      <c r="H42" s="111"/>
      <c r="I42" s="57"/>
      <c r="J42" s="95"/>
    </row>
    <row r="43" spans="1:12" ht="16.2" thickBot="1" x14ac:dyDescent="0.35">
      <c r="A43" s="57"/>
      <c r="B43" s="60" t="s">
        <v>13</v>
      </c>
      <c r="C43" s="60"/>
      <c r="D43" s="60"/>
      <c r="E43" s="60"/>
      <c r="F43" s="60"/>
      <c r="G43" s="66"/>
      <c r="H43" s="114">
        <f>H37-H39-H40-H41</f>
        <v>8774.2299999999959</v>
      </c>
      <c r="I43" s="57"/>
      <c r="J43" s="106">
        <f>J37-J40</f>
        <v>8631.6912029303494</v>
      </c>
    </row>
    <row r="44" spans="1:12" ht="15.6" thickTop="1" x14ac:dyDescent="0.25">
      <c r="A44" s="57"/>
      <c r="B44" s="60"/>
      <c r="C44" s="60"/>
      <c r="D44" s="60"/>
      <c r="E44" s="60"/>
      <c r="F44" s="60"/>
      <c r="G44" s="66"/>
      <c r="H44" s="66"/>
      <c r="I44" s="57"/>
      <c r="J44" s="95"/>
    </row>
    <row r="45" spans="1:12" ht="17.399999999999999" x14ac:dyDescent="0.3">
      <c r="A45" s="57"/>
      <c r="B45" s="70" t="s">
        <v>30</v>
      </c>
      <c r="C45" s="60"/>
      <c r="D45" s="60"/>
      <c r="E45" s="71"/>
      <c r="F45" s="60"/>
      <c r="G45" s="66"/>
      <c r="H45" s="66">
        <f>IF(H43&lt;0,0,-(H43*$G$46*$E$46)+-(H43*$G$47*$E$47))</f>
        <v>-2881.895843499999</v>
      </c>
      <c r="I45" s="66"/>
      <c r="J45" s="66">
        <f t="shared" ref="J45" si="0">IF(J43&lt;0,0,-(J43*$G$46*$E$46)+-(J43*$G$47*$E$47))</f>
        <v>-2835.0789756024733</v>
      </c>
      <c r="L45" s="67" t="s">
        <v>86</v>
      </c>
    </row>
    <row r="46" spans="1:12" ht="15" x14ac:dyDescent="0.25">
      <c r="A46" s="57"/>
      <c r="B46" s="60"/>
      <c r="C46" s="60" t="s">
        <v>32</v>
      </c>
      <c r="D46" s="60" t="s">
        <v>31</v>
      </c>
      <c r="E46" s="47">
        <v>0.33</v>
      </c>
      <c r="F46" s="60" t="s">
        <v>33</v>
      </c>
      <c r="G46" s="48">
        <v>0.99</v>
      </c>
      <c r="H46" s="69"/>
      <c r="I46" s="57"/>
      <c r="J46" s="95"/>
      <c r="L46" s="67" t="s">
        <v>87</v>
      </c>
    </row>
    <row r="47" spans="1:12" ht="15" x14ac:dyDescent="0.25">
      <c r="A47" s="57"/>
      <c r="B47" s="60"/>
      <c r="C47" s="60" t="s">
        <v>34</v>
      </c>
      <c r="D47" s="60"/>
      <c r="E47" s="47">
        <v>0.17499999999999999</v>
      </c>
      <c r="F47" s="60"/>
      <c r="G47" s="48">
        <v>0.01</v>
      </c>
      <c r="H47" s="69"/>
      <c r="I47" s="57"/>
      <c r="J47" s="95"/>
      <c r="L47" s="67" t="s">
        <v>85</v>
      </c>
    </row>
    <row r="48" spans="1:12" ht="15" x14ac:dyDescent="0.25">
      <c r="A48" s="57"/>
      <c r="B48" s="72"/>
      <c r="C48" s="72"/>
      <c r="D48" s="72"/>
      <c r="E48" s="72"/>
      <c r="F48" s="72"/>
      <c r="G48" s="72"/>
      <c r="H48" s="72"/>
      <c r="I48" s="72"/>
      <c r="J48" s="95"/>
    </row>
    <row r="49" spans="1:10" ht="18" thickBot="1" x14ac:dyDescent="0.35">
      <c r="A49" s="57"/>
      <c r="B49" s="60" t="s">
        <v>36</v>
      </c>
      <c r="C49" s="72"/>
      <c r="D49" s="72"/>
      <c r="E49" s="72"/>
      <c r="F49" s="72"/>
      <c r="G49" s="72"/>
      <c r="H49" s="73">
        <f>H37+H45</f>
        <v>12392.334156499997</v>
      </c>
      <c r="I49" s="74"/>
      <c r="J49" s="109">
        <f>J37+J45</f>
        <v>6284.6626881433058</v>
      </c>
    </row>
    <row r="50" spans="1:10" ht="15.6" thickTop="1" x14ac:dyDescent="0.25">
      <c r="A50" s="57"/>
      <c r="B50" s="57"/>
      <c r="C50" s="57"/>
      <c r="D50" s="57"/>
      <c r="E50" s="57"/>
      <c r="F50" s="57"/>
      <c r="G50" s="63"/>
      <c r="H50" s="57"/>
      <c r="I50" s="57"/>
    </row>
    <row r="51" spans="1:10" ht="15.6" x14ac:dyDescent="0.3">
      <c r="A51" s="57"/>
      <c r="B51" s="60" t="s">
        <v>17</v>
      </c>
      <c r="C51" s="57"/>
      <c r="D51" s="57"/>
      <c r="E51" s="57"/>
      <c r="F51" s="57"/>
      <c r="G51" s="63"/>
      <c r="H51" s="59">
        <f>H49/52</f>
        <v>238.31411839423072</v>
      </c>
      <c r="I51" s="58"/>
      <c r="J51" s="115">
        <f>J49/52</f>
        <v>120.85889784890972</v>
      </c>
    </row>
    <row r="52" spans="1:10" ht="15" x14ac:dyDescent="0.25">
      <c r="A52" s="57"/>
      <c r="B52" s="57"/>
      <c r="C52" s="57"/>
      <c r="D52" s="57"/>
      <c r="E52" s="57"/>
      <c r="F52" s="57"/>
      <c r="G52" s="63"/>
      <c r="H52" s="75"/>
      <c r="I52" s="57"/>
    </row>
    <row r="53" spans="1:10" ht="15" x14ac:dyDescent="0.25">
      <c r="A53" s="57"/>
      <c r="B53" s="57" t="s">
        <v>19</v>
      </c>
      <c r="C53" s="57"/>
      <c r="D53" s="57"/>
      <c r="E53" s="57"/>
      <c r="F53" s="57"/>
      <c r="G53" s="62">
        <f>H49/E11</f>
        <v>8.2615561043333313E-2</v>
      </c>
      <c r="H53" s="69" t="s">
        <v>18</v>
      </c>
      <c r="I53" s="57"/>
    </row>
    <row r="54" spans="1:10" ht="15" x14ac:dyDescent="0.25">
      <c r="A54" s="57"/>
      <c r="B54" s="57"/>
      <c r="C54" s="57"/>
      <c r="D54" s="57"/>
      <c r="E54" s="63"/>
      <c r="F54" s="57"/>
      <c r="G54" s="76"/>
      <c r="H54" s="57"/>
      <c r="I54" s="57"/>
    </row>
    <row r="55" spans="1:10" ht="15" x14ac:dyDescent="0.25">
      <c r="A55" s="57"/>
      <c r="B55" s="57" t="s">
        <v>35</v>
      </c>
      <c r="C55" s="57"/>
      <c r="D55" s="57"/>
      <c r="E55" s="47">
        <v>0.03</v>
      </c>
      <c r="F55" s="57"/>
      <c r="G55" s="63"/>
      <c r="H55" s="69">
        <f>E10*E55</f>
        <v>33019.799999999996</v>
      </c>
      <c r="I55" s="57"/>
    </row>
    <row r="56" spans="1:10" ht="15" x14ac:dyDescent="0.25">
      <c r="A56" s="57"/>
      <c r="B56" s="57"/>
      <c r="C56" s="57"/>
      <c r="D56" s="57"/>
      <c r="E56" s="57"/>
      <c r="F56" s="57"/>
      <c r="G56" s="63"/>
      <c r="H56" s="75"/>
      <c r="I56" s="57"/>
    </row>
    <row r="57" spans="1:10" ht="15" x14ac:dyDescent="0.25">
      <c r="A57" s="57"/>
      <c r="B57" s="72" t="s">
        <v>20</v>
      </c>
      <c r="C57" s="72"/>
      <c r="D57" s="72"/>
      <c r="E57" s="72"/>
      <c r="F57" s="57"/>
      <c r="G57" s="63">
        <f>(H49+H55)/E11</f>
        <v>0.30274756104333328</v>
      </c>
      <c r="H57" s="75" t="s">
        <v>18</v>
      </c>
      <c r="I57" s="57"/>
    </row>
    <row r="58" spans="1:10" ht="14.25" customHeight="1" x14ac:dyDescent="0.25">
      <c r="A58" s="57"/>
      <c r="B58" s="57"/>
      <c r="C58" s="57"/>
      <c r="D58" s="57"/>
      <c r="E58" s="57"/>
      <c r="F58" s="57"/>
      <c r="G58" s="63"/>
      <c r="H58" s="75"/>
      <c r="I58" s="57"/>
    </row>
    <row r="59" spans="1:10" ht="15" hidden="1" x14ac:dyDescent="0.25">
      <c r="A59" s="57"/>
      <c r="B59" s="77"/>
      <c r="C59" s="77"/>
      <c r="D59" s="77"/>
      <c r="E59" s="77"/>
      <c r="F59" s="77"/>
      <c r="G59" s="78"/>
      <c r="H59" s="77"/>
      <c r="I59" s="77"/>
      <c r="J59" s="79"/>
    </row>
    <row r="60" spans="1:10" hidden="1" x14ac:dyDescent="0.25">
      <c r="B60" s="79"/>
      <c r="C60" s="79"/>
      <c r="D60" s="79"/>
      <c r="E60" s="79"/>
      <c r="F60" s="79"/>
      <c r="G60" s="79"/>
      <c r="H60" s="79"/>
      <c r="I60" s="79"/>
      <c r="J60" s="79"/>
    </row>
    <row r="61" spans="1:10" hidden="1" x14ac:dyDescent="0.25">
      <c r="A61" s="56"/>
      <c r="B61" s="80"/>
      <c r="C61" s="81"/>
      <c r="D61" s="80"/>
      <c r="E61" s="80"/>
      <c r="F61" s="80"/>
      <c r="G61" s="80"/>
      <c r="H61" s="80"/>
      <c r="I61" s="80"/>
      <c r="J61" s="79"/>
    </row>
    <row r="62" spans="1:10" hidden="1" x14ac:dyDescent="0.25">
      <c r="A62" s="56"/>
      <c r="B62" s="56"/>
      <c r="C62" s="56"/>
      <c r="D62" s="56"/>
      <c r="E62" s="56"/>
      <c r="F62" s="56"/>
      <c r="G62" s="56"/>
      <c r="H62" s="56"/>
      <c r="I62" s="56"/>
    </row>
    <row r="63" spans="1:10" ht="29.4" x14ac:dyDescent="0.45">
      <c r="A63" s="56"/>
      <c r="B63" s="191"/>
      <c r="C63" s="191"/>
      <c r="D63" s="191"/>
      <c r="E63" s="191"/>
      <c r="F63" s="191"/>
      <c r="G63" s="191"/>
      <c r="H63" s="191"/>
      <c r="I63" s="191"/>
    </row>
    <row r="64" spans="1:10" ht="29.4" x14ac:dyDescent="0.45">
      <c r="A64" s="56"/>
      <c r="B64" s="157" t="s">
        <v>115</v>
      </c>
      <c r="C64" s="175"/>
      <c r="D64" s="175"/>
      <c r="E64" s="175"/>
      <c r="F64" s="175"/>
      <c r="G64" s="175"/>
      <c r="H64" s="175"/>
      <c r="I64" s="175"/>
    </row>
    <row r="65" spans="1:15" ht="29.4" x14ac:dyDescent="0.45">
      <c r="A65" s="56"/>
      <c r="B65" s="175"/>
      <c r="C65" s="175"/>
      <c r="D65" s="175"/>
      <c r="E65" s="175"/>
      <c r="F65" s="175"/>
      <c r="G65" s="175"/>
      <c r="H65" s="175"/>
      <c r="I65" s="175"/>
    </row>
    <row r="66" spans="1:15" x14ac:dyDescent="0.25">
      <c r="A66" s="56"/>
      <c r="B66" s="56"/>
      <c r="C66" s="56"/>
      <c r="D66" s="56"/>
      <c r="E66" s="56"/>
      <c r="F66" s="56"/>
      <c r="G66" s="56"/>
      <c r="H66" s="56"/>
      <c r="I66" s="56"/>
    </row>
    <row r="67" spans="1:15" ht="15.6" x14ac:dyDescent="0.3">
      <c r="A67" s="56"/>
      <c r="B67" s="156" t="s">
        <v>112</v>
      </c>
      <c r="C67" s="151"/>
      <c r="D67" s="151"/>
      <c r="E67" s="159">
        <f>((H35-G28)+(300*1.15))/D17/(1-'Data to enter'!C14*1.15)</f>
        <v>660.32911538461542</v>
      </c>
      <c r="F67" s="151"/>
      <c r="G67" s="151" t="s">
        <v>26</v>
      </c>
      <c r="H67" s="151"/>
      <c r="I67" s="151"/>
      <c r="J67" s="160"/>
      <c r="K67" s="160"/>
      <c r="L67" s="160"/>
      <c r="M67" s="160"/>
      <c r="N67" s="160"/>
      <c r="O67" s="160"/>
    </row>
    <row r="68" spans="1:15" ht="15.6" x14ac:dyDescent="0.3">
      <c r="A68" s="56"/>
      <c r="B68" s="156"/>
      <c r="C68" s="151"/>
      <c r="D68" s="151"/>
      <c r="E68" s="161"/>
      <c r="F68" s="151"/>
      <c r="G68" s="151"/>
      <c r="H68" s="151"/>
      <c r="I68" s="151"/>
      <c r="J68" s="160"/>
      <c r="K68" s="160"/>
      <c r="L68" s="160"/>
      <c r="M68" s="160"/>
      <c r="N68" s="165"/>
      <c r="O68" s="160"/>
    </row>
    <row r="69" spans="1:15" ht="15.6" x14ac:dyDescent="0.3">
      <c r="A69" s="56"/>
      <c r="B69" s="156"/>
      <c r="C69" s="151"/>
      <c r="D69" s="151"/>
      <c r="E69" s="161" t="s">
        <v>121</v>
      </c>
      <c r="F69" s="151"/>
      <c r="G69" s="151"/>
      <c r="H69" s="151"/>
      <c r="I69" s="151"/>
      <c r="J69" s="160"/>
      <c r="K69" s="160"/>
      <c r="L69" s="160"/>
      <c r="M69" s="166" t="s">
        <v>121</v>
      </c>
      <c r="N69" s="165"/>
      <c r="O69" s="160"/>
    </row>
    <row r="70" spans="1:15" ht="15.6" x14ac:dyDescent="0.3">
      <c r="A70" s="57"/>
      <c r="B70" s="57"/>
      <c r="C70" s="57"/>
      <c r="D70" s="57"/>
      <c r="E70" s="158" t="s">
        <v>117</v>
      </c>
      <c r="F70" s="57"/>
      <c r="G70" s="57"/>
      <c r="H70" s="57"/>
      <c r="I70" s="57"/>
      <c r="J70" s="107" t="s">
        <v>116</v>
      </c>
      <c r="K70" s="160"/>
      <c r="L70" s="160"/>
      <c r="M70" s="107" t="s">
        <v>118</v>
      </c>
      <c r="N70" s="160"/>
      <c r="O70" s="160"/>
    </row>
    <row r="71" spans="1:15" ht="15" x14ac:dyDescent="0.25">
      <c r="A71" s="57"/>
      <c r="B71" s="60" t="s">
        <v>113</v>
      </c>
      <c r="C71" s="57"/>
      <c r="D71" s="57"/>
      <c r="E71" s="111">
        <f>$H$37+$G$27-(J71*12)</f>
        <v>-6795.0901319235563</v>
      </c>
      <c r="F71" s="57"/>
      <c r="G71" s="57">
        <v>30</v>
      </c>
      <c r="H71" s="57" t="s">
        <v>114</v>
      </c>
      <c r="I71" s="57"/>
      <c r="J71" s="162">
        <f>PMT($E$27/12,G71*12,$E$13)*-1</f>
        <v>3653.2861776602963</v>
      </c>
      <c r="K71" s="160"/>
      <c r="L71" s="160"/>
      <c r="M71" s="163"/>
      <c r="N71" s="163">
        <f>(($H$35-$G$27-$G$28+J71*12)+(300*1.15))/$D$17/(1-'Data to enter'!$C$13*1.15)</f>
        <v>1194.6466056405361</v>
      </c>
      <c r="O71" s="160"/>
    </row>
    <row r="72" spans="1:15" ht="15" x14ac:dyDescent="0.25">
      <c r="A72" s="57"/>
      <c r="B72" s="60"/>
      <c r="C72" s="57"/>
      <c r="D72" s="57"/>
      <c r="E72" s="111">
        <f>$H$37+$G$27-(J72*12)</f>
        <v>-12935.397459876047</v>
      </c>
      <c r="F72" s="57"/>
      <c r="G72" s="57">
        <v>25</v>
      </c>
      <c r="H72" s="57" t="s">
        <v>114</v>
      </c>
      <c r="I72" s="57"/>
      <c r="J72" s="162">
        <f>PMT($E$27/12,G72*12,$E$13)*-1</f>
        <v>4164.9784549896704</v>
      </c>
      <c r="K72" s="160"/>
      <c r="L72" s="160"/>
      <c r="M72" s="163"/>
      <c r="N72" s="163">
        <f>(($H$35-$G$27-$G$28+J72*12)+(300*1.15))/$D$17/(1-'Data to enter'!$C$13*1.15)</f>
        <v>1324.6937788011703</v>
      </c>
      <c r="O72" s="160"/>
    </row>
    <row r="73" spans="1:15" ht="15" x14ac:dyDescent="0.25">
      <c r="A73" s="57"/>
      <c r="B73" s="57"/>
      <c r="C73" s="57"/>
      <c r="D73" s="57"/>
      <c r="E73" s="111">
        <f>$H$37+$G$27-(J73*12)</f>
        <v>-22246.271678357567</v>
      </c>
      <c r="F73" s="57"/>
      <c r="G73" s="57">
        <v>20</v>
      </c>
      <c r="H73" s="57" t="s">
        <v>114</v>
      </c>
      <c r="I73" s="57"/>
      <c r="J73" s="162">
        <f>PMT($E$27/12,G73*12,$E$13)*-1</f>
        <v>4940.8846398631304</v>
      </c>
      <c r="K73" s="160"/>
      <c r="L73" s="160"/>
      <c r="M73" s="163"/>
      <c r="N73" s="163">
        <f>(($H$35-$G$27-$G$28+J73*12)+(300*1.15))/$D$17/(1-'Data to enter'!$C$13*1.15)</f>
        <v>1521.8912165019817</v>
      </c>
      <c r="O73" s="160"/>
    </row>
    <row r="74" spans="1:15" ht="15" x14ac:dyDescent="0.25">
      <c r="A74" s="57"/>
      <c r="B74" s="57"/>
      <c r="C74" s="57"/>
      <c r="D74" s="57"/>
      <c r="E74" s="57"/>
      <c r="F74" s="57"/>
      <c r="G74" s="57"/>
      <c r="H74" s="57"/>
      <c r="I74" s="57"/>
    </row>
    <row r="75" spans="1:15" ht="15" x14ac:dyDescent="0.25">
      <c r="A75" s="57"/>
      <c r="B75" s="57"/>
      <c r="C75" s="57"/>
      <c r="D75" s="57"/>
      <c r="E75" s="57"/>
      <c r="F75" s="57"/>
      <c r="G75" s="57"/>
      <c r="H75" s="57"/>
      <c r="I75" s="57"/>
    </row>
    <row r="76" spans="1:15" ht="15.6" x14ac:dyDescent="0.3">
      <c r="A76" s="56"/>
      <c r="B76" s="156"/>
      <c r="C76" s="151"/>
      <c r="D76" s="151"/>
      <c r="E76" s="161" t="s">
        <v>122</v>
      </c>
      <c r="F76" s="151"/>
      <c r="G76" s="151"/>
      <c r="H76" s="151"/>
      <c r="I76" s="57"/>
      <c r="J76" s="166"/>
    </row>
    <row r="77" spans="1:15" ht="15.6" x14ac:dyDescent="0.3">
      <c r="A77" s="57"/>
      <c r="B77" s="57"/>
      <c r="C77" s="57"/>
      <c r="D77" s="57"/>
      <c r="E77" s="158" t="s">
        <v>117</v>
      </c>
      <c r="F77" s="57"/>
      <c r="G77" s="57"/>
      <c r="H77" s="57"/>
      <c r="I77" s="57"/>
      <c r="J77" s="107"/>
      <c r="K77" s="160"/>
      <c r="L77" s="160"/>
    </row>
    <row r="78" spans="1:15" ht="15" x14ac:dyDescent="0.25">
      <c r="A78" s="57"/>
      <c r="B78" s="60" t="s">
        <v>113</v>
      </c>
      <c r="C78" s="57"/>
      <c r="D78" s="57"/>
      <c r="E78" s="111">
        <f>E71+$H$45</f>
        <v>-9676.9859754235549</v>
      </c>
      <c r="F78" s="57"/>
      <c r="G78" s="57">
        <v>30</v>
      </c>
      <c r="H78" s="57" t="s">
        <v>114</v>
      </c>
      <c r="I78" s="57"/>
      <c r="J78" s="163"/>
      <c r="K78" s="163"/>
      <c r="L78" s="160"/>
    </row>
    <row r="79" spans="1:15" ht="15" x14ac:dyDescent="0.25">
      <c r="A79" s="57"/>
      <c r="B79" s="60"/>
      <c r="C79" s="57"/>
      <c r="D79" s="57"/>
      <c r="E79" s="111">
        <f>E72+$H$45</f>
        <v>-15817.293303376046</v>
      </c>
      <c r="F79" s="57"/>
      <c r="G79" s="57">
        <v>25</v>
      </c>
      <c r="H79" s="57" t="s">
        <v>114</v>
      </c>
      <c r="I79" s="57"/>
      <c r="J79" s="163"/>
      <c r="K79" s="163"/>
      <c r="L79" s="160"/>
    </row>
    <row r="80" spans="1:15" ht="15" x14ac:dyDescent="0.25">
      <c r="A80" s="57"/>
      <c r="B80" s="57"/>
      <c r="C80" s="57"/>
      <c r="D80" s="57"/>
      <c r="E80" s="111">
        <f>E73+$H$45</f>
        <v>-25128.167521857566</v>
      </c>
      <c r="F80" s="57"/>
      <c r="G80" s="57">
        <v>20</v>
      </c>
      <c r="H80" s="57" t="s">
        <v>114</v>
      </c>
      <c r="I80" s="57"/>
      <c r="J80" s="163"/>
      <c r="K80" s="163"/>
      <c r="L80" s="160"/>
    </row>
    <row r="81" spans="1:9" ht="15" x14ac:dyDescent="0.25">
      <c r="A81" s="57"/>
      <c r="B81" s="57"/>
      <c r="C81" s="57"/>
      <c r="D81" s="57"/>
      <c r="E81" s="57"/>
      <c r="F81" s="57"/>
      <c r="G81" s="57"/>
      <c r="H81" s="57"/>
      <c r="I81" s="57"/>
    </row>
    <row r="82" spans="1:9" ht="15" x14ac:dyDescent="0.25">
      <c r="A82" s="57"/>
      <c r="B82" s="57"/>
      <c r="C82" s="57"/>
      <c r="D82" s="57"/>
      <c r="E82" s="57"/>
      <c r="F82" s="57"/>
      <c r="G82" s="57"/>
      <c r="H82" s="57"/>
      <c r="I82" s="57"/>
    </row>
    <row r="83" spans="1:9" ht="15" x14ac:dyDescent="0.25">
      <c r="A83" s="57"/>
      <c r="B83" s="57"/>
      <c r="C83" s="57"/>
      <c r="D83" s="57"/>
      <c r="E83" s="57"/>
      <c r="F83" s="57"/>
      <c r="G83" s="57"/>
      <c r="H83" s="57"/>
      <c r="I83" s="57"/>
    </row>
    <row r="84" spans="1:9" ht="15" x14ac:dyDescent="0.25">
      <c r="A84" s="57"/>
      <c r="B84" s="57"/>
      <c r="C84" s="57"/>
      <c r="D84" s="57"/>
      <c r="E84" s="57"/>
      <c r="F84" s="57"/>
      <c r="G84" s="57"/>
      <c r="H84" s="57"/>
      <c r="I84" s="57"/>
    </row>
    <row r="85" spans="1:9" ht="15" x14ac:dyDescent="0.25">
      <c r="A85" s="57"/>
      <c r="B85" s="57"/>
      <c r="C85" s="57"/>
      <c r="D85" s="57"/>
      <c r="E85" s="57"/>
      <c r="F85" s="57"/>
      <c r="G85" s="57"/>
      <c r="H85" s="57"/>
      <c r="I85" s="57"/>
    </row>
    <row r="86" spans="1:9" ht="15" x14ac:dyDescent="0.25">
      <c r="A86" s="57"/>
      <c r="B86" s="57"/>
      <c r="C86" s="57"/>
      <c r="D86" s="57"/>
      <c r="E86" s="57"/>
      <c r="F86" s="57"/>
      <c r="G86" s="57"/>
      <c r="H86" s="57"/>
      <c r="I86" s="57"/>
    </row>
    <row r="87" spans="1:9" ht="15" x14ac:dyDescent="0.25">
      <c r="A87" s="57"/>
      <c r="B87" s="57"/>
      <c r="C87" s="57"/>
      <c r="D87" s="57"/>
      <c r="E87" s="57"/>
      <c r="F87" s="57"/>
      <c r="G87" s="57"/>
      <c r="H87" s="57"/>
      <c r="I87" s="57"/>
    </row>
    <row r="88" spans="1:9" ht="15" x14ac:dyDescent="0.25">
      <c r="A88" s="57"/>
      <c r="B88" s="57"/>
      <c r="C88" s="57"/>
      <c r="D88" s="57"/>
      <c r="E88" s="57"/>
      <c r="F88" s="57"/>
      <c r="G88" s="57"/>
      <c r="H88" s="57"/>
      <c r="I88" s="57"/>
    </row>
    <row r="89" spans="1:9" ht="15" x14ac:dyDescent="0.25">
      <c r="A89" s="57"/>
      <c r="B89" s="57"/>
      <c r="C89" s="57"/>
      <c r="D89" s="57"/>
      <c r="E89" s="57"/>
      <c r="F89" s="57"/>
      <c r="G89" s="57"/>
      <c r="H89" s="75"/>
      <c r="I89" s="57"/>
    </row>
    <row r="90" spans="1:9" ht="15" x14ac:dyDescent="0.25">
      <c r="A90" s="57"/>
      <c r="B90" s="57"/>
      <c r="C90" s="57"/>
      <c r="D90" s="57"/>
      <c r="E90" s="57"/>
      <c r="F90" s="57"/>
      <c r="G90" s="57"/>
      <c r="H90" s="57"/>
      <c r="I90" s="57"/>
    </row>
    <row r="91" spans="1:9" ht="15" x14ac:dyDescent="0.25">
      <c r="A91" s="57"/>
      <c r="B91" s="57"/>
      <c r="C91" s="57"/>
      <c r="D91" s="57"/>
      <c r="E91" s="57"/>
      <c r="F91" s="57"/>
      <c r="G91" s="57"/>
      <c r="H91" s="57"/>
      <c r="I91" s="57"/>
    </row>
    <row r="92" spans="1:9" ht="15" x14ac:dyDescent="0.25">
      <c r="A92" s="57"/>
      <c r="B92" s="57"/>
      <c r="C92" s="57"/>
      <c r="D92" s="57"/>
      <c r="E92" s="57"/>
      <c r="F92" s="57"/>
      <c r="G92" s="57"/>
      <c r="H92" s="57"/>
      <c r="I92" s="57"/>
    </row>
    <row r="93" spans="1:9" ht="15" x14ac:dyDescent="0.25">
      <c r="A93" s="57"/>
      <c r="B93" s="57"/>
      <c r="C93" s="57"/>
      <c r="D93" s="57"/>
      <c r="E93" s="57"/>
      <c r="F93" s="57"/>
      <c r="G93" s="57"/>
      <c r="H93" s="57"/>
      <c r="I93" s="57"/>
    </row>
    <row r="94" spans="1:9" ht="15" x14ac:dyDescent="0.25">
      <c r="A94" s="57"/>
      <c r="B94" s="57"/>
      <c r="C94" s="57"/>
      <c r="D94" s="57"/>
      <c r="E94" s="57"/>
      <c r="F94" s="57"/>
      <c r="G94" s="57"/>
      <c r="H94" s="57"/>
      <c r="I94" s="57"/>
    </row>
    <row r="95" spans="1:9" ht="15" x14ac:dyDescent="0.25">
      <c r="A95" s="57"/>
      <c r="B95" s="72"/>
      <c r="C95" s="72"/>
      <c r="D95" s="72"/>
      <c r="E95" s="72"/>
      <c r="F95" s="72"/>
      <c r="G95" s="72"/>
      <c r="H95" s="72"/>
      <c r="I95" s="72"/>
    </row>
    <row r="96" spans="1:9" ht="15" x14ac:dyDescent="0.25">
      <c r="A96" s="57"/>
      <c r="B96" s="72"/>
      <c r="C96" s="72"/>
      <c r="D96" s="72"/>
      <c r="E96" s="72"/>
      <c r="F96" s="72"/>
      <c r="G96" s="72"/>
      <c r="H96" s="72"/>
      <c r="I96" s="72"/>
    </row>
    <row r="97" spans="1:9" ht="15" x14ac:dyDescent="0.25">
      <c r="A97" s="57"/>
      <c r="B97" s="72"/>
      <c r="C97" s="72"/>
      <c r="D97" s="72"/>
      <c r="E97" s="72"/>
      <c r="F97" s="72"/>
      <c r="G97" s="72"/>
      <c r="H97" s="72"/>
      <c r="I97" s="72"/>
    </row>
    <row r="98" spans="1:9" ht="15" x14ac:dyDescent="0.25">
      <c r="A98" s="57"/>
      <c r="B98" s="72"/>
      <c r="C98" s="72"/>
      <c r="D98" s="72"/>
      <c r="E98" s="72"/>
      <c r="F98" s="72"/>
      <c r="G98" s="72"/>
      <c r="H98" s="72"/>
      <c r="I98" s="72"/>
    </row>
    <row r="99" spans="1:9" ht="15" x14ac:dyDescent="0.25">
      <c r="A99" s="57"/>
      <c r="B99" s="82"/>
      <c r="C99" s="82"/>
      <c r="D99" s="82"/>
      <c r="E99" s="82"/>
      <c r="F99" s="82"/>
      <c r="G99" s="82"/>
      <c r="H99" s="57"/>
      <c r="I99" s="57"/>
    </row>
    <row r="100" spans="1:9" ht="15" x14ac:dyDescent="0.25">
      <c r="B100" s="83"/>
      <c r="C100" s="83"/>
      <c r="D100" s="83"/>
      <c r="E100" s="83"/>
      <c r="F100" s="84"/>
      <c r="G100" s="83"/>
    </row>
  </sheetData>
  <sheetProtection algorithmName="SHA-512" hashValue="Bbfgwa2aVLqiyMibY4nxlrRZDp4S3ZPUkk1sNn4/Bvu6TNCwWryHXFNzqjuUmU6VuNwG86o/rh9gx2nbODdM0g==" saltValue="xwwrTNzJ+IfbjSODJ1JDhg==" spinCount="100000" sheet="1" selectLockedCells="1"/>
  <mergeCells count="3">
    <mergeCell ref="A1:G1"/>
    <mergeCell ref="F2:J2"/>
    <mergeCell ref="B63:I63"/>
  </mergeCells>
  <pageMargins left="0.75" right="0.75" top="1" bottom="1" header="0.5" footer="0.5"/>
  <pageSetup paperSize="9" scale="79" orientation="portrait" r:id="rId1"/>
  <headerFooter alignWithMargins="0">
    <oddFooter>&amp;CThis is based on estimated costs and returns.</oddFoot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87FB705F9E69438E4EF01FACFD670D" ma:contentTypeVersion="18" ma:contentTypeDescription="Create a new document." ma:contentTypeScope="" ma:versionID="0e1ae7413c4b392328c3658fa49917f2">
  <xsd:schema xmlns:xsd="http://www.w3.org/2001/XMLSchema" xmlns:xs="http://www.w3.org/2001/XMLSchema" xmlns:p="http://schemas.microsoft.com/office/2006/metadata/properties" xmlns:ns2="5e078475-9b87-43da-a9e7-c09304876b64" xmlns:ns3="39e035db-475e-47ba-8f52-d01208a60ba9" targetNamespace="http://schemas.microsoft.com/office/2006/metadata/properties" ma:root="true" ma:fieldsID="9b7f52f85a800d15978dd9eeec50e8ca" ns2:_="" ns3:_="">
    <xsd:import namespace="5e078475-9b87-43da-a9e7-c09304876b64"/>
    <xsd:import namespace="39e035db-475e-47ba-8f52-d01208a60ba9"/>
    <xsd:element name="properties">
      <xsd:complexType>
        <xsd:sequence>
          <xsd:element name="documentManagement">
            <xsd:complexType>
              <xsd:all>
                <xsd:element ref="ns2:SharedDocumentAccessGuid" minOccurs="0"/>
                <xsd:element ref="ns2:Archived" minOccurs="0"/>
                <xsd:element ref="ns2:MigratedSourceSystemLocation" minOccurs="0"/>
                <xsd:element ref="ns2:JSONPreview"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igratedSourceSystemLocationNote" minOccurs="0"/>
                <xsd:element ref="ns2:MigratedSourceSystemLocationNote2"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078475-9b87-43da-a9e7-c09304876b64" elementFormDefault="qualified">
    <xsd:import namespace="http://schemas.microsoft.com/office/2006/documentManagement/types"/>
    <xsd:import namespace="http://schemas.microsoft.com/office/infopath/2007/PartnerControls"/>
    <xsd:element name="SharedDocumentAccessGuid" ma:index="8" nillable="true" ma:displayName="SharedDocumentAccessGuid" ma:hidden="true" ma:internalName="SharedDocumentAccessGuid">
      <xsd:simpleType>
        <xsd:restriction base="dms:Text"/>
      </xsd:simpleType>
    </xsd:element>
    <xsd:element name="Archived" ma:index="9" nillable="true" ma:displayName="Archived" ma:internalName="Archived">
      <xsd:simpleType>
        <xsd:restriction base="dms:Boolean"/>
      </xsd:simpleType>
    </xsd:element>
    <xsd:element name="MigratedSourceSystemLocation" ma:index="10" nillable="true" ma:displayName="MigratedSourceSystemLocation" ma:hidden="true" ma:internalName="MigratedSourceSystemLocation">
      <xsd:simpleType>
        <xsd:restriction base="dms:Text"/>
      </xsd:simpleType>
    </xsd:element>
    <xsd:element name="JSONPreview" ma:index="11" nillable="true" ma:displayName="JSONPreview" ma:hidden="true" ma:internalName="JSONPreview">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igratedSourceSystemLocationNote" ma:index="18" nillable="true" ma:displayName="MigratedSourceSystemLocationNote" ma:hidden="true" ma:internalName="MigratedSourceSystemLocationNote">
      <xsd:simpleType>
        <xsd:restriction base="dms:Note"/>
      </xsd:simpleType>
    </xsd:element>
    <xsd:element name="MigratedSourceSystemLocationNote2" ma:index="19" nillable="true" ma:displayName="MigratedSourceSystemLocationNote2" ma:hidden="true" ma:internalName="MigratedSourceSystemLocationNote2">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e035db-475e-47ba-8f52-d01208a60ba9" elementFormDefault="qualified">
    <xsd:import namespace="http://schemas.microsoft.com/office/2006/documentManagement/types"/>
    <xsd:import namespace="http://schemas.microsoft.com/office/infopath/2007/PartnerControls"/>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JSONPreview xmlns="5e078475-9b87-43da-a9e7-c09304876b64" xsi:nil="true"/>
    <MigratedSourceSystemLocationNote2 xmlns="5e078475-9b87-43da-a9e7-c09304876b64" xsi:nil="true"/>
    <MigratedSourceSystemLocationNote xmlns="5e078475-9b87-43da-a9e7-c09304876b64" xsi:nil="true"/>
    <MigratedSourceSystemLocation xmlns="5e078475-9b87-43da-a9e7-c09304876b64" xsi:nil="true"/>
    <SharedDocumentAccessGuid xmlns="5e078475-9b87-43da-a9e7-c09304876b64" xsi:nil="true"/>
    <Archived xmlns="5e078475-9b87-43da-a9e7-c09304876b64" xsi:nil="true"/>
  </documentManagement>
</p:properties>
</file>

<file path=customXml/itemProps1.xml><?xml version="1.0" encoding="utf-8"?>
<ds:datastoreItem xmlns:ds="http://schemas.openxmlformats.org/officeDocument/2006/customXml" ds:itemID="{C49EA1AA-C945-4D54-B108-3A5A3DB28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078475-9b87-43da-a9e7-c09304876b64"/>
    <ds:schemaRef ds:uri="39e035db-475e-47ba-8f52-d01208a60b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C5C077-67AA-47FC-A105-AA5DCCD8631A}">
  <ds:schemaRefs>
    <ds:schemaRef ds:uri="http://schemas.microsoft.com/sharepoint/v3/contenttype/forms"/>
  </ds:schemaRefs>
</ds:datastoreItem>
</file>

<file path=customXml/itemProps3.xml><?xml version="1.0" encoding="utf-8"?>
<ds:datastoreItem xmlns:ds="http://schemas.openxmlformats.org/officeDocument/2006/customXml" ds:itemID="{CFB969EB-CF90-4922-9F98-9166C5E6DE09}">
  <ds:schemaRefs>
    <ds:schemaRef ds:uri="http://schemas.microsoft.com/office/2006/metadata/properties"/>
    <ds:schemaRef ds:uri="http://schemas.microsoft.com/office/infopath/2007/PartnerControls"/>
    <ds:schemaRef ds:uri="5e078475-9b87-43da-a9e7-c09304876b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19</vt:i4>
      </vt:variant>
      <vt:variant>
        <vt:lpstr>Charts</vt:lpstr>
      </vt:variant>
      <vt:variant>
        <vt:i4>1</vt:i4>
      </vt:variant>
      <vt:variant>
        <vt:lpstr>Named Ranges</vt:lpstr>
      </vt:variant>
      <vt:variant>
        <vt:i4>16</vt:i4>
      </vt:variant>
    </vt:vector>
  </HeadingPairs>
  <TitlesOfParts>
    <vt:vector size="36" baseType="lpstr">
      <vt:lpstr>Data to enter</vt:lpstr>
      <vt:lpstr>Summary</vt:lpstr>
      <vt:lpstr>p1 one year</vt:lpstr>
      <vt:lpstr>p2 one year</vt:lpstr>
      <vt:lpstr>p3 one year</vt:lpstr>
      <vt:lpstr>p4 one year repeat p2</vt:lpstr>
      <vt:lpstr>p5a one year</vt:lpstr>
      <vt:lpstr>p5b one year</vt:lpstr>
      <vt:lpstr>p5c one year</vt:lpstr>
      <vt:lpstr>p1 10 year</vt:lpstr>
      <vt:lpstr>no interest p1 10 year</vt:lpstr>
      <vt:lpstr>p2 10 year</vt:lpstr>
      <vt:lpstr>no interest p2 10 year</vt:lpstr>
      <vt:lpstr>p3 10 year</vt:lpstr>
      <vt:lpstr>p4 10 year</vt:lpstr>
      <vt:lpstr>p5a 10 year</vt:lpstr>
      <vt:lpstr>p5b 10 year</vt:lpstr>
      <vt:lpstr>p5c 10 year</vt:lpstr>
      <vt:lpstr>Sheet1</vt:lpstr>
      <vt:lpstr>Property value graph</vt:lpstr>
      <vt:lpstr>'no interest p1 10 year'!Print_Area</vt:lpstr>
      <vt:lpstr>'no interest p2 10 year'!Print_Area</vt:lpstr>
      <vt:lpstr>'p1 10 year'!Print_Area</vt:lpstr>
      <vt:lpstr>'p1 one year'!Print_Area</vt:lpstr>
      <vt:lpstr>'p2 10 year'!Print_Area</vt:lpstr>
      <vt:lpstr>'p2 one year'!Print_Area</vt:lpstr>
      <vt:lpstr>'p3 10 year'!Print_Area</vt:lpstr>
      <vt:lpstr>'p3 one year'!Print_Area</vt:lpstr>
      <vt:lpstr>'p4 10 year'!Print_Area</vt:lpstr>
      <vt:lpstr>'p4 one year repeat p2'!Print_Area</vt:lpstr>
      <vt:lpstr>'p5a 10 year'!Print_Area</vt:lpstr>
      <vt:lpstr>'p5a one year'!Print_Area</vt:lpstr>
      <vt:lpstr>'p5b 10 year'!Print_Area</vt:lpstr>
      <vt:lpstr>'p5b one year'!Print_Area</vt:lpstr>
      <vt:lpstr>'p5c 10 year'!Print_Area</vt:lpstr>
      <vt:lpstr>'p5c one year'!Print_Area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dc:creator>
  <cp:lastModifiedBy>Jessie Rosser</cp:lastModifiedBy>
  <cp:lastPrinted>2020-05-05T08:21:15Z</cp:lastPrinted>
  <dcterms:created xsi:type="dcterms:W3CDTF">2004-04-06T21:17:24Z</dcterms:created>
  <dcterms:modified xsi:type="dcterms:W3CDTF">2021-03-26T00:26:41Z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0x0101002A87FB705F9E69438E4EF01FACFD670D</vt:lpwstr>
  </property>
</Properties>
</file>